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rthur\Documents\Excel\"/>
    </mc:Choice>
  </mc:AlternateContent>
  <bookViews>
    <workbookView xWindow="0" yWindow="0" windowWidth="15360" windowHeight="7755" activeTab="1"/>
  </bookViews>
  <sheets>
    <sheet name="Matchs de Qualification" sheetId="1" r:id="rId1"/>
    <sheet name="Phase Final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2" l="1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DC25" i="2" l="1"/>
  <c r="DD25" i="2"/>
  <c r="DE25" i="2"/>
  <c r="DC26" i="2"/>
  <c r="DD26" i="2"/>
  <c r="DE26" i="2"/>
  <c r="DC27" i="2"/>
  <c r="DD27" i="2"/>
  <c r="DE27" i="2"/>
  <c r="DD28" i="2"/>
  <c r="DE28" i="2"/>
  <c r="DD19" i="2" l="1"/>
  <c r="DD13" i="2"/>
  <c r="DE13" i="2"/>
  <c r="DD14" i="2"/>
  <c r="DE14" i="2"/>
  <c r="DD15" i="2"/>
  <c r="DE15" i="2"/>
  <c r="DD16" i="2"/>
  <c r="DE16" i="2"/>
  <c r="DE19" i="2"/>
  <c r="DD20" i="2"/>
  <c r="DE20" i="2"/>
  <c r="DD21" i="2"/>
  <c r="DE21" i="2"/>
  <c r="DD22" i="2"/>
  <c r="DE22" i="2"/>
  <c r="DD31" i="2"/>
  <c r="DE31" i="2"/>
  <c r="DD32" i="2"/>
  <c r="DE32" i="2"/>
  <c r="DD33" i="2"/>
  <c r="DE33" i="2"/>
  <c r="DD34" i="2"/>
  <c r="DE34" i="2"/>
  <c r="DD37" i="2"/>
  <c r="DE37" i="2"/>
  <c r="DD38" i="2"/>
  <c r="DE38" i="2"/>
  <c r="DD39" i="2"/>
  <c r="DE39" i="2"/>
  <c r="DD40" i="2"/>
  <c r="DE40" i="2"/>
  <c r="DE7" i="2"/>
  <c r="DD7" i="2"/>
  <c r="DE10" i="2"/>
  <c r="DE9" i="2"/>
  <c r="DE8" i="2"/>
  <c r="DD10" i="2"/>
  <c r="DD8" i="2"/>
  <c r="DD9" i="2"/>
  <c r="V2" i="1" l="1"/>
  <c r="CV4" i="2" l="1"/>
  <c r="AR10" i="2" l="1"/>
  <c r="AU7" i="2"/>
  <c r="AS13" i="2"/>
  <c r="AT13" i="2"/>
  <c r="AU13" i="2"/>
  <c r="AR14" i="2"/>
  <c r="AT14" i="2"/>
  <c r="AU14" i="2"/>
  <c r="AR15" i="2"/>
  <c r="AS15" i="2"/>
  <c r="AU15" i="2"/>
  <c r="AR16" i="2"/>
  <c r="AS16" i="2"/>
  <c r="AT16" i="2"/>
  <c r="AS19" i="2"/>
  <c r="AT19" i="2"/>
  <c r="AU19" i="2"/>
  <c r="AR20" i="2"/>
  <c r="AT20" i="2"/>
  <c r="AU20" i="2"/>
  <c r="AR21" i="2"/>
  <c r="AS21" i="2"/>
  <c r="AU21" i="2"/>
  <c r="AR22" i="2"/>
  <c r="AS22" i="2"/>
  <c r="AT22" i="2"/>
  <c r="AS25" i="2"/>
  <c r="AT25" i="2"/>
  <c r="AU25" i="2"/>
  <c r="AR26" i="2"/>
  <c r="AT26" i="2"/>
  <c r="AU26" i="2"/>
  <c r="AR27" i="2"/>
  <c r="AS27" i="2"/>
  <c r="AU27" i="2"/>
  <c r="AR28" i="2"/>
  <c r="AS28" i="2"/>
  <c r="AT28" i="2"/>
  <c r="AS31" i="2"/>
  <c r="AT31" i="2"/>
  <c r="AU31" i="2"/>
  <c r="AR32" i="2"/>
  <c r="AT32" i="2"/>
  <c r="AU32" i="2"/>
  <c r="AR33" i="2"/>
  <c r="AS33" i="2"/>
  <c r="AU33" i="2"/>
  <c r="AR34" i="2"/>
  <c r="AS34" i="2"/>
  <c r="AT34" i="2"/>
  <c r="AS37" i="2"/>
  <c r="AT37" i="2"/>
  <c r="AU37" i="2"/>
  <c r="AR38" i="2"/>
  <c r="AT38" i="2"/>
  <c r="AU38" i="2"/>
  <c r="AR39" i="2"/>
  <c r="AS39" i="2"/>
  <c r="AU39" i="2"/>
  <c r="AR40" i="2"/>
  <c r="AS40" i="2"/>
  <c r="AT40" i="2"/>
  <c r="CK4" i="2"/>
  <c r="CE4" i="2"/>
  <c r="BL4" i="2"/>
  <c r="AR9" i="2"/>
  <c r="AS9" i="2"/>
  <c r="AU9" i="2"/>
  <c r="AU8" i="2"/>
  <c r="AT10" i="2"/>
  <c r="AT8" i="2"/>
  <c r="AT7" i="2"/>
  <c r="AS10" i="2"/>
  <c r="AS7" i="2"/>
  <c r="AR8" i="2"/>
  <c r="B16" i="2"/>
  <c r="DQ9" i="2" s="1"/>
  <c r="CW40" i="2" l="1"/>
  <c r="CV40" i="2"/>
  <c r="CV39" i="2"/>
  <c r="CW39" i="2"/>
  <c r="CV37" i="2"/>
  <c r="CW37" i="2"/>
  <c r="CV38" i="2"/>
  <c r="CW38" i="2"/>
  <c r="CV34" i="2"/>
  <c r="CW34" i="2"/>
  <c r="CV33" i="2"/>
  <c r="CW33" i="2"/>
  <c r="CW32" i="2"/>
  <c r="CV32" i="2"/>
  <c r="CW28" i="2"/>
  <c r="CV28" i="2"/>
  <c r="CW31" i="2"/>
  <c r="CV31" i="2"/>
  <c r="CV27" i="2"/>
  <c r="CW27" i="2"/>
  <c r="CV25" i="2"/>
  <c r="CW25" i="2"/>
  <c r="CV26" i="2"/>
  <c r="CW26" i="2"/>
  <c r="CV22" i="2"/>
  <c r="CW22" i="2"/>
  <c r="CW20" i="2"/>
  <c r="CV20" i="2"/>
  <c r="CW21" i="2"/>
  <c r="CV21" i="2"/>
  <c r="CW19" i="2"/>
  <c r="CV19" i="2"/>
  <c r="CW16" i="2"/>
  <c r="CV16" i="2"/>
  <c r="CW14" i="2"/>
  <c r="CW15" i="2"/>
  <c r="CV15" i="2"/>
  <c r="CV13" i="2"/>
  <c r="CV14" i="2"/>
  <c r="CW13" i="2"/>
  <c r="DG9" i="2"/>
  <c r="DC9" i="2"/>
  <c r="CW7" i="2"/>
  <c r="CV7" i="2"/>
  <c r="CV9" i="2"/>
  <c r="CW9" i="2"/>
  <c r="CW8" i="2"/>
  <c r="CV8" i="2"/>
  <c r="CW10" i="2"/>
  <c r="CV10" i="2"/>
  <c r="DK9" i="2"/>
  <c r="CY9" i="2"/>
  <c r="CU9" i="2"/>
  <c r="BR9" i="2"/>
  <c r="CQ9" i="2"/>
  <c r="AQ9" i="2"/>
  <c r="AT6" i="2" s="1"/>
  <c r="E13" i="2"/>
  <c r="B14" i="2"/>
  <c r="DG8" i="2" l="1"/>
  <c r="DC8" i="2"/>
  <c r="DG10" i="2"/>
  <c r="DC10" i="2"/>
  <c r="CQ8" i="2"/>
  <c r="CY8" i="2"/>
  <c r="CU8" i="2"/>
  <c r="CQ10" i="2"/>
  <c r="CU10" i="2"/>
  <c r="CY10" i="2"/>
  <c r="BR8" i="2"/>
  <c r="AQ10" i="2"/>
  <c r="AU6" i="2" s="1"/>
  <c r="BR10" i="2"/>
  <c r="AQ8" i="2"/>
  <c r="AS6" i="2" s="1"/>
  <c r="DK8" i="2"/>
  <c r="DK10" i="2"/>
  <c r="S21" i="2"/>
  <c r="S9" i="2" l="1"/>
  <c r="AC38" i="2" l="1"/>
  <c r="U49" i="1" l="1"/>
  <c r="V49" i="1"/>
  <c r="X49" i="1"/>
  <c r="Y49" i="1"/>
  <c r="Z49" i="1"/>
  <c r="AA49" i="1"/>
  <c r="AC49" i="1"/>
  <c r="AE49" i="1"/>
  <c r="AF49" i="1"/>
  <c r="AG49" i="1"/>
  <c r="AH49" i="1"/>
  <c r="AR49" i="1"/>
  <c r="BO49" i="1"/>
  <c r="BP49" i="1"/>
  <c r="BR49" i="1"/>
  <c r="BS49" i="1"/>
  <c r="BT49" i="1"/>
  <c r="BU49" i="1"/>
  <c r="BW49" i="1"/>
  <c r="AZ49" i="1" s="1"/>
  <c r="BY49" i="1"/>
  <c r="BZ49" i="1"/>
  <c r="CA49" i="1"/>
  <c r="CB49" i="1"/>
  <c r="CL49" i="1"/>
  <c r="CT49" i="1"/>
  <c r="DB49" i="1" s="1"/>
  <c r="DJ49" i="1"/>
  <c r="DM49" i="1"/>
  <c r="U50" i="1"/>
  <c r="V50" i="1"/>
  <c r="W50" i="1"/>
  <c r="Y50" i="1"/>
  <c r="Z50" i="1"/>
  <c r="AA50" i="1"/>
  <c r="AC50" i="1"/>
  <c r="AD50" i="1"/>
  <c r="AF50" i="1"/>
  <c r="AG50" i="1"/>
  <c r="AH50" i="1"/>
  <c r="AR50" i="1"/>
  <c r="BO50" i="1"/>
  <c r="BP50" i="1"/>
  <c r="AS50" i="1" s="1"/>
  <c r="BQ50" i="1"/>
  <c r="BS50" i="1"/>
  <c r="BT50" i="1"/>
  <c r="BU50" i="1"/>
  <c r="AX50" i="1" s="1"/>
  <c r="BW50" i="1"/>
  <c r="BX50" i="1"/>
  <c r="BZ50" i="1"/>
  <c r="CA50" i="1"/>
  <c r="BD50" i="1" s="1"/>
  <c r="CB50" i="1"/>
  <c r="CF50" i="1"/>
  <c r="CL50" i="1"/>
  <c r="CT50" i="1"/>
  <c r="DB50" i="1" s="1"/>
  <c r="DJ50" i="1"/>
  <c r="DM50" i="1"/>
  <c r="U51" i="1"/>
  <c r="V51" i="1"/>
  <c r="W51" i="1"/>
  <c r="X51" i="1"/>
  <c r="Z51" i="1"/>
  <c r="AA51" i="1"/>
  <c r="AC51" i="1"/>
  <c r="AD51" i="1"/>
  <c r="CP49" i="1" s="1"/>
  <c r="CN51" i="1" s="1"/>
  <c r="AE51" i="1"/>
  <c r="AG51" i="1"/>
  <c r="AH51" i="1"/>
  <c r="AR51" i="1"/>
  <c r="BO51" i="1"/>
  <c r="BP51" i="1"/>
  <c r="BQ51" i="1"/>
  <c r="BR51" i="1"/>
  <c r="BT51" i="1"/>
  <c r="BU51" i="1"/>
  <c r="BW51" i="1"/>
  <c r="BX51" i="1"/>
  <c r="BY51" i="1"/>
  <c r="CA51" i="1"/>
  <c r="BD51" i="1" s="1"/>
  <c r="CB51" i="1"/>
  <c r="CL51" i="1"/>
  <c r="CT51" i="1"/>
  <c r="DB51" i="1" s="1"/>
  <c r="DJ51" i="1"/>
  <c r="DM51" i="1"/>
  <c r="U52" i="1"/>
  <c r="V52" i="1"/>
  <c r="W52" i="1"/>
  <c r="X52" i="1"/>
  <c r="Y52" i="1"/>
  <c r="AA52" i="1"/>
  <c r="AC52" i="1"/>
  <c r="AD52" i="1"/>
  <c r="AE52" i="1"/>
  <c r="AF52" i="1"/>
  <c r="AH52" i="1"/>
  <c r="AR52" i="1"/>
  <c r="BO52" i="1"/>
  <c r="BP52" i="1"/>
  <c r="BQ52" i="1"/>
  <c r="BR52" i="1"/>
  <c r="BS52" i="1"/>
  <c r="AV52" i="1" s="1"/>
  <c r="BU52" i="1"/>
  <c r="BW52" i="1"/>
  <c r="BX52" i="1"/>
  <c r="BY52" i="1"/>
  <c r="BB52" i="1" s="1"/>
  <c r="BZ52" i="1"/>
  <c r="CB52" i="1"/>
  <c r="CL52" i="1"/>
  <c r="CT52" i="1"/>
  <c r="DB52" i="1" s="1"/>
  <c r="DJ52" i="1"/>
  <c r="DM52" i="1"/>
  <c r="U53" i="1"/>
  <c r="V53" i="1"/>
  <c r="W53" i="1"/>
  <c r="X53" i="1"/>
  <c r="Y53" i="1"/>
  <c r="Z53" i="1"/>
  <c r="AC53" i="1"/>
  <c r="AD53" i="1"/>
  <c r="AE53" i="1"/>
  <c r="CR50" i="1" s="1"/>
  <c r="CO53" i="1" s="1"/>
  <c r="AF53" i="1"/>
  <c r="AG53" i="1"/>
  <c r="AR53" i="1"/>
  <c r="BO53" i="1"/>
  <c r="BP53" i="1"/>
  <c r="BQ53" i="1"/>
  <c r="BR53" i="1"/>
  <c r="BS53" i="1"/>
  <c r="BT53" i="1"/>
  <c r="BW53" i="1"/>
  <c r="AZ53" i="1" s="1"/>
  <c r="BX53" i="1"/>
  <c r="BY53" i="1"/>
  <c r="BB53" i="1" s="1"/>
  <c r="BZ53" i="1"/>
  <c r="CA53" i="1"/>
  <c r="BD53" i="1" s="1"/>
  <c r="CL53" i="1"/>
  <c r="CT53" i="1"/>
  <c r="DJ53" i="1"/>
  <c r="DM53" i="1"/>
  <c r="U55" i="1"/>
  <c r="W55" i="1"/>
  <c r="X55" i="1"/>
  <c r="Y55" i="1"/>
  <c r="Z55" i="1"/>
  <c r="AA55" i="1"/>
  <c r="AD55" i="1"/>
  <c r="AE55" i="1"/>
  <c r="AF55" i="1"/>
  <c r="AG55" i="1"/>
  <c r="AH55" i="1"/>
  <c r="AR55" i="1"/>
  <c r="BO55" i="1"/>
  <c r="BQ55" i="1"/>
  <c r="BR55" i="1"/>
  <c r="BS55" i="1"/>
  <c r="BT55" i="1"/>
  <c r="BU55" i="1"/>
  <c r="BX55" i="1"/>
  <c r="BY55" i="1"/>
  <c r="BB55" i="1" s="1"/>
  <c r="BZ55" i="1"/>
  <c r="CA55" i="1"/>
  <c r="BD55" i="1" s="1"/>
  <c r="CB55" i="1"/>
  <c r="CL55" i="1"/>
  <c r="CT55" i="1"/>
  <c r="DB55" i="1"/>
  <c r="DJ55" i="1"/>
  <c r="DM55" i="1"/>
  <c r="BC52" i="1" l="1"/>
  <c r="BA52" i="1"/>
  <c r="CQ51" i="1"/>
  <c r="CP52" i="1" s="1"/>
  <c r="BE50" i="1"/>
  <c r="BC50" i="1"/>
  <c r="AZ50" i="1"/>
  <c r="BD49" i="1"/>
  <c r="AX49" i="1"/>
  <c r="AS49" i="1"/>
  <c r="AX52" i="1"/>
  <c r="AU52" i="1"/>
  <c r="CR52" i="1"/>
  <c r="CQ53" i="1" s="1"/>
  <c r="AW50" i="1"/>
  <c r="AW49" i="1"/>
  <c r="AU49" i="1"/>
  <c r="AX55" i="1"/>
  <c r="AV55" i="1"/>
  <c r="AT55" i="1"/>
  <c r="AV53" i="1"/>
  <c r="AT53" i="1"/>
  <c r="CR49" i="1"/>
  <c r="CN53" i="1" s="1"/>
  <c r="AX51" i="1"/>
  <c r="AU51" i="1"/>
  <c r="AS51" i="1"/>
  <c r="CR51" i="1"/>
  <c r="CP53" i="1" s="1"/>
  <c r="CP50" i="1"/>
  <c r="CO51" i="1" s="1"/>
  <c r="CO49" i="1"/>
  <c r="CN50" i="1" s="1"/>
  <c r="BE55" i="1"/>
  <c r="BA53" i="1"/>
  <c r="AU53" i="1"/>
  <c r="CE51" i="1"/>
  <c r="BA51" i="1"/>
  <c r="BB51" i="1"/>
  <c r="AW51" i="1"/>
  <c r="CH50" i="1"/>
  <c r="CQ49" i="1"/>
  <c r="CN52" i="1" s="1"/>
  <c r="BC55" i="1"/>
  <c r="BA55" i="1"/>
  <c r="AW55" i="1"/>
  <c r="AU55" i="1"/>
  <c r="BC53" i="1"/>
  <c r="AW53" i="1"/>
  <c r="AS53" i="1"/>
  <c r="CI50" i="1"/>
  <c r="AS52" i="1"/>
  <c r="BE52" i="1"/>
  <c r="AZ52" i="1"/>
  <c r="AT52" i="1"/>
  <c r="BE51" i="1"/>
  <c r="AZ51" i="1"/>
  <c r="AT51" i="1"/>
  <c r="CJ50" i="1"/>
  <c r="AT50" i="1"/>
  <c r="CG50" i="1"/>
  <c r="BA50" i="1"/>
  <c r="AV50" i="1"/>
  <c r="CQ50" i="1"/>
  <c r="CO52" i="1" s="1"/>
  <c r="BE49" i="1"/>
  <c r="BC49" i="1"/>
  <c r="BB49" i="1"/>
  <c r="AV49" i="1"/>
  <c r="E43" i="2" l="1"/>
  <c r="B46" i="2"/>
  <c r="B44" i="2"/>
  <c r="B41" i="2"/>
  <c r="E37" i="2"/>
  <c r="B40" i="2"/>
  <c r="B38" i="2"/>
  <c r="E25" i="2"/>
  <c r="B28" i="2"/>
  <c r="B26" i="2"/>
  <c r="E19" i="2"/>
  <c r="B22" i="2"/>
  <c r="B20" i="2"/>
  <c r="B35" i="2"/>
  <c r="E31" i="2"/>
  <c r="DC28" i="2" s="1"/>
  <c r="B34" i="2"/>
  <c r="B32" i="2"/>
  <c r="B29" i="2"/>
  <c r="B23" i="2"/>
  <c r="B11" i="2"/>
  <c r="B17" i="2"/>
  <c r="F50" i="1"/>
  <c r="D50" i="1"/>
  <c r="D48" i="1"/>
  <c r="F48" i="1"/>
  <c r="F46" i="1"/>
  <c r="D46" i="1"/>
  <c r="F44" i="1"/>
  <c r="D44" i="1"/>
  <c r="W8" i="1"/>
  <c r="DK13" i="2" l="1"/>
  <c r="DC13" i="2"/>
  <c r="DQ13" i="2"/>
  <c r="DG13" i="2"/>
  <c r="DK19" i="2"/>
  <c r="DC19" i="2"/>
  <c r="DQ19" i="2"/>
  <c r="DG19" i="2"/>
  <c r="DK26" i="2"/>
  <c r="DQ26" i="2"/>
  <c r="DG26" i="2"/>
  <c r="DK28" i="2"/>
  <c r="DG28" i="2"/>
  <c r="DQ28" i="2"/>
  <c r="DK14" i="2"/>
  <c r="DC14" i="2"/>
  <c r="DQ14" i="2"/>
  <c r="DG14" i="2"/>
  <c r="DK16" i="2"/>
  <c r="DC16" i="2"/>
  <c r="DQ16" i="2"/>
  <c r="DG16" i="2"/>
  <c r="DK21" i="2"/>
  <c r="DC21" i="2"/>
  <c r="DQ21" i="2"/>
  <c r="DG21" i="2"/>
  <c r="DK32" i="2"/>
  <c r="DG32" i="2"/>
  <c r="DQ32" i="2"/>
  <c r="DC32" i="2"/>
  <c r="DK34" i="2"/>
  <c r="DG34" i="2"/>
  <c r="DQ34" i="2"/>
  <c r="DC34" i="2"/>
  <c r="DK38" i="2"/>
  <c r="DG38" i="2"/>
  <c r="DQ38" i="2"/>
  <c r="DC38" i="2"/>
  <c r="DK40" i="2"/>
  <c r="DG40" i="2"/>
  <c r="DQ40" i="2"/>
  <c r="DC40" i="2"/>
  <c r="DK25" i="2"/>
  <c r="DQ25" i="2"/>
  <c r="DG25" i="2"/>
  <c r="DK27" i="2"/>
  <c r="DQ27" i="2"/>
  <c r="DG27" i="2"/>
  <c r="DK31" i="2"/>
  <c r="DG31" i="2"/>
  <c r="DQ31" i="2"/>
  <c r="DC31" i="2"/>
  <c r="DK15" i="2"/>
  <c r="DC15" i="2"/>
  <c r="DQ15" i="2"/>
  <c r="DG15" i="2"/>
  <c r="DK20" i="2"/>
  <c r="DC20" i="2"/>
  <c r="DQ20" i="2"/>
  <c r="DG20" i="2"/>
  <c r="DK22" i="2"/>
  <c r="DC22" i="2"/>
  <c r="DQ22" i="2"/>
  <c r="DG22" i="2"/>
  <c r="DK33" i="2"/>
  <c r="DG33" i="2"/>
  <c r="DQ33" i="2"/>
  <c r="DC33" i="2"/>
  <c r="DK37" i="2"/>
  <c r="DG37" i="2"/>
  <c r="DQ37" i="2"/>
  <c r="DC37" i="2"/>
  <c r="DK39" i="2"/>
  <c r="DG39" i="2"/>
  <c r="DQ39" i="2"/>
  <c r="DC39" i="2"/>
  <c r="DG7" i="2"/>
  <c r="DC7" i="2"/>
  <c r="CQ25" i="2"/>
  <c r="CU25" i="2"/>
  <c r="CY25" i="2"/>
  <c r="CQ27" i="2"/>
  <c r="CU27" i="2"/>
  <c r="CY27" i="2"/>
  <c r="CY31" i="2"/>
  <c r="CQ31" i="2"/>
  <c r="CU31" i="2"/>
  <c r="CQ15" i="2"/>
  <c r="CU15" i="2"/>
  <c r="CY15" i="2"/>
  <c r="CY20" i="2"/>
  <c r="CQ20" i="2"/>
  <c r="CU20" i="2"/>
  <c r="CY22" i="2"/>
  <c r="CQ22" i="2"/>
  <c r="CU22" i="2"/>
  <c r="CY33" i="2"/>
  <c r="CQ33" i="2"/>
  <c r="CU33" i="2"/>
  <c r="CQ37" i="2"/>
  <c r="CU37" i="2"/>
  <c r="CY37" i="2"/>
  <c r="CQ39" i="2"/>
  <c r="CU39" i="2"/>
  <c r="CY39" i="2"/>
  <c r="CQ13" i="2"/>
  <c r="CU13" i="2"/>
  <c r="CY13" i="2"/>
  <c r="CY19" i="2"/>
  <c r="CQ19" i="2"/>
  <c r="CU19" i="2"/>
  <c r="CQ26" i="2"/>
  <c r="CU26" i="2"/>
  <c r="CY26" i="2"/>
  <c r="CQ28" i="2"/>
  <c r="CU28" i="2"/>
  <c r="CY28" i="2"/>
  <c r="CQ14" i="2"/>
  <c r="CU14" i="2"/>
  <c r="CY14" i="2"/>
  <c r="CQ16" i="2"/>
  <c r="CU16" i="2"/>
  <c r="CY16" i="2"/>
  <c r="CY21" i="2"/>
  <c r="CQ21" i="2"/>
  <c r="CU21" i="2"/>
  <c r="CY32" i="2"/>
  <c r="CQ32" i="2"/>
  <c r="CU32" i="2"/>
  <c r="CY34" i="2"/>
  <c r="CU34" i="2"/>
  <c r="CQ34" i="2"/>
  <c r="CQ38" i="2"/>
  <c r="CU38" i="2"/>
  <c r="CY38" i="2"/>
  <c r="CQ40" i="2"/>
  <c r="CU40" i="2"/>
  <c r="CY40" i="2"/>
  <c r="CY7" i="2"/>
  <c r="CU7" i="2"/>
  <c r="AQ13" i="2"/>
  <c r="AR12" i="2" s="1"/>
  <c r="BR13" i="2"/>
  <c r="AQ19" i="2"/>
  <c r="AR18" i="2" s="1"/>
  <c r="BR19" i="2"/>
  <c r="AQ26" i="2"/>
  <c r="AS24" i="2" s="1"/>
  <c r="BR26" i="2"/>
  <c r="AQ28" i="2"/>
  <c r="AU24" i="2" s="1"/>
  <c r="BR28" i="2"/>
  <c r="AQ14" i="2"/>
  <c r="AS12" i="2" s="1"/>
  <c r="BR14" i="2"/>
  <c r="AQ16" i="2"/>
  <c r="AU12" i="2" s="1"/>
  <c r="BR16" i="2"/>
  <c r="E24" i="2"/>
  <c r="AQ21" i="2"/>
  <c r="AT18" i="2" s="1"/>
  <c r="BR21" i="2"/>
  <c r="AQ32" i="2"/>
  <c r="AS30" i="2" s="1"/>
  <c r="BR32" i="2"/>
  <c r="AQ34" i="2"/>
  <c r="AU30" i="2" s="1"/>
  <c r="BR34" i="2"/>
  <c r="AQ38" i="2"/>
  <c r="AS36" i="2" s="1"/>
  <c r="BR38" i="2"/>
  <c r="AQ40" i="2"/>
  <c r="AU36" i="2" s="1"/>
  <c r="BR40" i="2"/>
  <c r="AQ25" i="2"/>
  <c r="AR24" i="2" s="1"/>
  <c r="BR25" i="2"/>
  <c r="AQ27" i="2"/>
  <c r="AT24" i="2" s="1"/>
  <c r="BR27" i="2"/>
  <c r="AQ31" i="2"/>
  <c r="AR30" i="2" s="1"/>
  <c r="BR31" i="2"/>
  <c r="AQ15" i="2"/>
  <c r="AT12" i="2" s="1"/>
  <c r="BR15" i="2"/>
  <c r="AQ20" i="2"/>
  <c r="AS18" i="2" s="1"/>
  <c r="BR20" i="2"/>
  <c r="AQ22" i="2"/>
  <c r="AU18" i="2" s="1"/>
  <c r="BR22" i="2"/>
  <c r="AQ33" i="2"/>
  <c r="AT30" i="2" s="1"/>
  <c r="BR33" i="2"/>
  <c r="AQ37" i="2"/>
  <c r="AR36" i="2" s="1"/>
  <c r="BR37" i="2"/>
  <c r="AQ39" i="2"/>
  <c r="AT36" i="2" s="1"/>
  <c r="BR39" i="2"/>
  <c r="BR7" i="2"/>
  <c r="CQ7" i="2"/>
  <c r="AQ7" i="2"/>
  <c r="AR6" i="2" s="1"/>
  <c r="U42" i="1"/>
  <c r="V42" i="1"/>
  <c r="X42" i="1"/>
  <c r="Y42" i="1"/>
  <c r="Z42" i="1"/>
  <c r="AA42" i="1"/>
  <c r="AC42" i="1"/>
  <c r="AE42" i="1"/>
  <c r="AF42" i="1"/>
  <c r="AG42" i="1"/>
  <c r="AH42" i="1"/>
  <c r="AR42" i="1"/>
  <c r="BO42" i="1"/>
  <c r="BP42" i="1"/>
  <c r="BR42" i="1"/>
  <c r="BS42" i="1"/>
  <c r="BT42" i="1"/>
  <c r="BU42" i="1"/>
  <c r="BW42" i="1"/>
  <c r="BY42" i="1"/>
  <c r="BZ42" i="1"/>
  <c r="CA42" i="1"/>
  <c r="CB42" i="1"/>
  <c r="CL42" i="1"/>
  <c r="CT42" i="1"/>
  <c r="DB42" i="1" s="1"/>
  <c r="DJ42" i="1"/>
  <c r="DM42" i="1"/>
  <c r="U43" i="1"/>
  <c r="V43" i="1"/>
  <c r="W43" i="1"/>
  <c r="Y43" i="1"/>
  <c r="Z43" i="1"/>
  <c r="AA43" i="1"/>
  <c r="AC43" i="1"/>
  <c r="AD43" i="1"/>
  <c r="CO42" i="1" s="1"/>
  <c r="CN43" i="1" s="1"/>
  <c r="AF43" i="1"/>
  <c r="AG43" i="1"/>
  <c r="AH43" i="1"/>
  <c r="AR43" i="1"/>
  <c r="BO43" i="1"/>
  <c r="BP43" i="1"/>
  <c r="BQ43" i="1"/>
  <c r="BS43" i="1"/>
  <c r="BT43" i="1"/>
  <c r="BU43" i="1"/>
  <c r="BW43" i="1"/>
  <c r="BX43" i="1"/>
  <c r="BA43" i="1" s="1"/>
  <c r="BZ43" i="1"/>
  <c r="CA43" i="1"/>
  <c r="BD43" i="1" s="1"/>
  <c r="CB43" i="1"/>
  <c r="CG43" i="1"/>
  <c r="CL43" i="1"/>
  <c r="CT43" i="1"/>
  <c r="DB43" i="1" s="1"/>
  <c r="DJ43" i="1"/>
  <c r="DM43" i="1"/>
  <c r="R26" i="1"/>
  <c r="L44" i="1"/>
  <c r="U41" i="1"/>
  <c r="W41" i="1"/>
  <c r="X41" i="1"/>
  <c r="Y41" i="1"/>
  <c r="Z41" i="1"/>
  <c r="AA41" i="1"/>
  <c r="AD41" i="1"/>
  <c r="AE41" i="1"/>
  <c r="AF41" i="1"/>
  <c r="AG41" i="1"/>
  <c r="AH41" i="1"/>
  <c r="AR41" i="1"/>
  <c r="BO41" i="1"/>
  <c r="BQ41" i="1"/>
  <c r="BR41" i="1"/>
  <c r="BS41" i="1"/>
  <c r="BT41" i="1"/>
  <c r="BU41" i="1"/>
  <c r="BX41" i="1"/>
  <c r="BY41" i="1"/>
  <c r="BZ41" i="1"/>
  <c r="CA41" i="1"/>
  <c r="CB41" i="1"/>
  <c r="CL41" i="1"/>
  <c r="CT41" i="1"/>
  <c r="DB41" i="1" s="1"/>
  <c r="DJ41" i="1"/>
  <c r="DM41" i="1"/>
  <c r="U44" i="1"/>
  <c r="V44" i="1"/>
  <c r="W44" i="1"/>
  <c r="X44" i="1"/>
  <c r="Z44" i="1"/>
  <c r="AA44" i="1"/>
  <c r="AC44" i="1"/>
  <c r="AD44" i="1"/>
  <c r="AE44" i="1"/>
  <c r="AG44" i="1"/>
  <c r="AH44" i="1"/>
  <c r="AR44" i="1"/>
  <c r="BO44" i="1"/>
  <c r="BP44" i="1"/>
  <c r="BQ44" i="1"/>
  <c r="BR44" i="1"/>
  <c r="BT44" i="1"/>
  <c r="BU44" i="1"/>
  <c r="BW44" i="1"/>
  <c r="BX44" i="1"/>
  <c r="BY44" i="1"/>
  <c r="CA44" i="1"/>
  <c r="CB44" i="1"/>
  <c r="CL44" i="1"/>
  <c r="CT44" i="1"/>
  <c r="DB44" i="1" s="1"/>
  <c r="DJ44" i="1"/>
  <c r="DM44" i="1"/>
  <c r="U45" i="1"/>
  <c r="V45" i="1"/>
  <c r="W45" i="1"/>
  <c r="X45" i="1"/>
  <c r="Y45" i="1"/>
  <c r="AA45" i="1"/>
  <c r="AC45" i="1"/>
  <c r="AD45" i="1"/>
  <c r="AE45" i="1"/>
  <c r="AF45" i="1"/>
  <c r="AH45" i="1"/>
  <c r="AR45" i="1"/>
  <c r="BO45" i="1"/>
  <c r="BP45" i="1"/>
  <c r="BQ45" i="1"/>
  <c r="BR45" i="1"/>
  <c r="BS45" i="1"/>
  <c r="BU45" i="1"/>
  <c r="BW45" i="1"/>
  <c r="BX45" i="1"/>
  <c r="BY45" i="1"/>
  <c r="BZ45" i="1"/>
  <c r="CB45" i="1"/>
  <c r="CL45" i="1"/>
  <c r="CT45" i="1"/>
  <c r="DB45" i="1" s="1"/>
  <c r="DJ45" i="1"/>
  <c r="DM45" i="1"/>
  <c r="U46" i="1"/>
  <c r="V46" i="1"/>
  <c r="W46" i="1"/>
  <c r="X46" i="1"/>
  <c r="Y46" i="1"/>
  <c r="Z46" i="1"/>
  <c r="AC46" i="1"/>
  <c r="AD46" i="1"/>
  <c r="AE46" i="1"/>
  <c r="AF46" i="1"/>
  <c r="AG46" i="1"/>
  <c r="AR46" i="1"/>
  <c r="BO46" i="1"/>
  <c r="BP46" i="1"/>
  <c r="BQ46" i="1"/>
  <c r="BR46" i="1"/>
  <c r="BS46" i="1"/>
  <c r="BT46" i="1"/>
  <c r="BW46" i="1"/>
  <c r="BX46" i="1"/>
  <c r="BY46" i="1"/>
  <c r="BZ46" i="1"/>
  <c r="CA46" i="1"/>
  <c r="CL46" i="1"/>
  <c r="CT46" i="1"/>
  <c r="DJ46" i="1"/>
  <c r="DM46" i="1"/>
  <c r="U48" i="1"/>
  <c r="W48" i="1"/>
  <c r="X48" i="1"/>
  <c r="Y48" i="1"/>
  <c r="Z48" i="1"/>
  <c r="AA48" i="1"/>
  <c r="AD48" i="1"/>
  <c r="AL50" i="1" s="1"/>
  <c r="DK49" i="1" s="1"/>
  <c r="AE48" i="1"/>
  <c r="AM50" i="1" s="1"/>
  <c r="DK50" i="1" s="1"/>
  <c r="AF48" i="1"/>
  <c r="AN50" i="1" s="1"/>
  <c r="DK51" i="1" s="1"/>
  <c r="AG48" i="1"/>
  <c r="AO50" i="1" s="1"/>
  <c r="DK52" i="1" s="1"/>
  <c r="AH48" i="1"/>
  <c r="AP50" i="1" s="1"/>
  <c r="DK53" i="1" s="1"/>
  <c r="AR48" i="1"/>
  <c r="BO48" i="1"/>
  <c r="BQ48" i="1"/>
  <c r="BR48" i="1"/>
  <c r="BS48" i="1"/>
  <c r="BT48" i="1"/>
  <c r="BU48" i="1"/>
  <c r="BX48" i="1"/>
  <c r="CF51" i="1" s="1"/>
  <c r="CF52" i="1" s="1"/>
  <c r="BY48" i="1"/>
  <c r="CG51" i="1" s="1"/>
  <c r="CG52" i="1" s="1"/>
  <c r="BZ48" i="1"/>
  <c r="CH51" i="1" s="1"/>
  <c r="CH52" i="1" s="1"/>
  <c r="CA48" i="1"/>
  <c r="CI51" i="1" s="1"/>
  <c r="CI52" i="1" s="1"/>
  <c r="CB48" i="1"/>
  <c r="CJ51" i="1" s="1"/>
  <c r="CJ52" i="1" s="1"/>
  <c r="CL48" i="1"/>
  <c r="CT48" i="1"/>
  <c r="DB48" i="1" s="1"/>
  <c r="DJ48" i="1"/>
  <c r="DM48" i="1"/>
  <c r="U56" i="1"/>
  <c r="V56" i="1"/>
  <c r="X56" i="1"/>
  <c r="Y56" i="1"/>
  <c r="Z56" i="1"/>
  <c r="AA56" i="1"/>
  <c r="AC56" i="1"/>
  <c r="CN55" i="1" s="1"/>
  <c r="AE56" i="1"/>
  <c r="AF56" i="1"/>
  <c r="AG56" i="1"/>
  <c r="AH56" i="1"/>
  <c r="AR56" i="1"/>
  <c r="BO56" i="1"/>
  <c r="BP56" i="1"/>
  <c r="BR56" i="1"/>
  <c r="BS56" i="1"/>
  <c r="BT56" i="1"/>
  <c r="BU56" i="1"/>
  <c r="BW56" i="1"/>
  <c r="BY56" i="1"/>
  <c r="BZ56" i="1"/>
  <c r="CA56" i="1"/>
  <c r="CB56" i="1"/>
  <c r="CL56" i="1"/>
  <c r="CT56" i="1"/>
  <c r="DB56" i="1" s="1"/>
  <c r="DJ56" i="1"/>
  <c r="DM56" i="1"/>
  <c r="U57" i="1"/>
  <c r="V57" i="1"/>
  <c r="W57" i="1"/>
  <c r="Y57" i="1"/>
  <c r="Z57" i="1"/>
  <c r="AA57" i="1"/>
  <c r="AC57" i="1"/>
  <c r="AD57" i="1"/>
  <c r="AF57" i="1"/>
  <c r="AG57" i="1"/>
  <c r="AH57" i="1"/>
  <c r="AR57" i="1"/>
  <c r="BO57" i="1"/>
  <c r="BP57" i="1"/>
  <c r="BQ57" i="1"/>
  <c r="BS57" i="1"/>
  <c r="BT57" i="1"/>
  <c r="BU57" i="1"/>
  <c r="BW57" i="1"/>
  <c r="BX57" i="1"/>
  <c r="BZ57" i="1"/>
  <c r="CA57" i="1"/>
  <c r="CB57" i="1"/>
  <c r="CL57" i="1"/>
  <c r="CT57" i="1"/>
  <c r="DB57" i="1" s="1"/>
  <c r="DJ57" i="1"/>
  <c r="DM57" i="1"/>
  <c r="U58" i="1"/>
  <c r="V58" i="1"/>
  <c r="W58" i="1"/>
  <c r="X58" i="1"/>
  <c r="Z58" i="1"/>
  <c r="AA58" i="1"/>
  <c r="AC58" i="1"/>
  <c r="CP55" i="1" s="1"/>
  <c r="AD58" i="1"/>
  <c r="AE58" i="1"/>
  <c r="AG58" i="1"/>
  <c r="AH58" i="1"/>
  <c r="AR58" i="1"/>
  <c r="BO58" i="1"/>
  <c r="BP58" i="1"/>
  <c r="BQ58" i="1"/>
  <c r="BR58" i="1"/>
  <c r="BT58" i="1"/>
  <c r="BU58" i="1"/>
  <c r="BW58" i="1"/>
  <c r="BX58" i="1"/>
  <c r="BY58" i="1"/>
  <c r="CA58" i="1"/>
  <c r="CB58" i="1"/>
  <c r="CL58" i="1"/>
  <c r="CT58" i="1"/>
  <c r="DB58" i="1" s="1"/>
  <c r="DJ58" i="1"/>
  <c r="DM58" i="1"/>
  <c r="U59" i="1"/>
  <c r="V59" i="1"/>
  <c r="W59" i="1"/>
  <c r="X59" i="1"/>
  <c r="Y59" i="1"/>
  <c r="AA59" i="1"/>
  <c r="AC59" i="1"/>
  <c r="AD59" i="1"/>
  <c r="AE59" i="1"/>
  <c r="AF59" i="1"/>
  <c r="AH59" i="1"/>
  <c r="AR59" i="1"/>
  <c r="BO59" i="1"/>
  <c r="BP59" i="1"/>
  <c r="BQ59" i="1"/>
  <c r="BR59" i="1"/>
  <c r="BS59" i="1"/>
  <c r="BU59" i="1"/>
  <c r="BW59" i="1"/>
  <c r="BX59" i="1"/>
  <c r="BY59" i="1"/>
  <c r="BZ59" i="1"/>
  <c r="CB59" i="1"/>
  <c r="CL59" i="1"/>
  <c r="CT59" i="1"/>
  <c r="DB59" i="1" s="1"/>
  <c r="DJ59" i="1"/>
  <c r="DM59" i="1"/>
  <c r="U60" i="1"/>
  <c r="V60" i="1"/>
  <c r="W60" i="1"/>
  <c r="X60" i="1"/>
  <c r="Y60" i="1"/>
  <c r="Z60" i="1"/>
  <c r="AC60" i="1"/>
  <c r="CR55" i="1" s="1"/>
  <c r="AD60" i="1"/>
  <c r="AE60" i="1"/>
  <c r="AF60" i="1"/>
  <c r="AG60" i="1"/>
  <c r="AR60" i="1"/>
  <c r="BO60" i="1"/>
  <c r="BP60" i="1"/>
  <c r="BQ60" i="1"/>
  <c r="BR60" i="1"/>
  <c r="BS60" i="1"/>
  <c r="BT60" i="1"/>
  <c r="BW60" i="1"/>
  <c r="BX60" i="1"/>
  <c r="BY60" i="1"/>
  <c r="BZ60" i="1"/>
  <c r="CA60" i="1"/>
  <c r="CL60" i="1"/>
  <c r="CT60" i="1"/>
  <c r="DJ60" i="1"/>
  <c r="DM60" i="1"/>
  <c r="U62" i="1"/>
  <c r="W62" i="1"/>
  <c r="X62" i="1"/>
  <c r="Y62" i="1"/>
  <c r="Z62" i="1"/>
  <c r="AA62" i="1"/>
  <c r="AD62" i="1"/>
  <c r="AE62" i="1"/>
  <c r="AF62" i="1"/>
  <c r="AG62" i="1"/>
  <c r="AH62" i="1"/>
  <c r="AR62" i="1"/>
  <c r="BO62" i="1"/>
  <c r="BQ62" i="1"/>
  <c r="BR62" i="1"/>
  <c r="BS62" i="1"/>
  <c r="BT62" i="1"/>
  <c r="BX62" i="1"/>
  <c r="BA62" i="1" s="1"/>
  <c r="BY62" i="1"/>
  <c r="BB62" i="1" s="1"/>
  <c r="BZ62" i="1"/>
  <c r="BC62" i="1" s="1"/>
  <c r="CA62" i="1"/>
  <c r="CL62" i="1"/>
  <c r="CT62" i="1"/>
  <c r="DB62" i="1" s="1"/>
  <c r="DJ62" i="1"/>
  <c r="DM62" i="1"/>
  <c r="U63" i="1"/>
  <c r="V63" i="1"/>
  <c r="X63" i="1"/>
  <c r="Y63" i="1"/>
  <c r="Z63" i="1"/>
  <c r="AA63" i="1"/>
  <c r="AC63" i="1"/>
  <c r="AE63" i="1"/>
  <c r="AF63" i="1"/>
  <c r="AG63" i="1"/>
  <c r="AH63" i="1"/>
  <c r="AR63" i="1"/>
  <c r="BO63" i="1"/>
  <c r="BP63" i="1"/>
  <c r="BR63" i="1"/>
  <c r="BS63" i="1"/>
  <c r="BT63" i="1"/>
  <c r="BW63" i="1"/>
  <c r="AZ63" i="1" s="1"/>
  <c r="BY63" i="1"/>
  <c r="BB63" i="1" s="1"/>
  <c r="BZ63" i="1"/>
  <c r="BC63" i="1" s="1"/>
  <c r="CA63" i="1"/>
  <c r="BD63" i="1" s="1"/>
  <c r="CL63" i="1"/>
  <c r="CT63" i="1"/>
  <c r="DB63" i="1" s="1"/>
  <c r="DJ63" i="1"/>
  <c r="DM63" i="1"/>
  <c r="U64" i="1"/>
  <c r="V64" i="1"/>
  <c r="W64" i="1"/>
  <c r="Y64" i="1"/>
  <c r="Z64" i="1"/>
  <c r="AA64" i="1"/>
  <c r="AC64" i="1"/>
  <c r="AD64" i="1"/>
  <c r="AF64" i="1"/>
  <c r="AG64" i="1"/>
  <c r="AH64" i="1"/>
  <c r="AR64" i="1"/>
  <c r="BO64" i="1"/>
  <c r="BP64" i="1"/>
  <c r="BQ64" i="1"/>
  <c r="BS64" i="1"/>
  <c r="BT64" i="1"/>
  <c r="BW64" i="1"/>
  <c r="AZ64" i="1" s="1"/>
  <c r="BX64" i="1"/>
  <c r="BA64" i="1" s="1"/>
  <c r="BZ64" i="1"/>
  <c r="BC64" i="1" s="1"/>
  <c r="CA64" i="1"/>
  <c r="BD64" i="1" s="1"/>
  <c r="CL64" i="1"/>
  <c r="CT64" i="1"/>
  <c r="DB64" i="1" s="1"/>
  <c r="DJ64" i="1"/>
  <c r="DM64" i="1"/>
  <c r="U65" i="1"/>
  <c r="V65" i="1"/>
  <c r="W65" i="1"/>
  <c r="X65" i="1"/>
  <c r="Z65" i="1"/>
  <c r="AA65" i="1"/>
  <c r="AC65" i="1"/>
  <c r="AD65" i="1"/>
  <c r="AE65" i="1"/>
  <c r="AG65" i="1"/>
  <c r="AH65" i="1"/>
  <c r="AR65" i="1"/>
  <c r="BO65" i="1"/>
  <c r="BP65" i="1"/>
  <c r="BQ65" i="1"/>
  <c r="BR65" i="1"/>
  <c r="BT65" i="1"/>
  <c r="BW65" i="1"/>
  <c r="AZ65" i="1" s="1"/>
  <c r="BX65" i="1"/>
  <c r="BA65" i="1" s="1"/>
  <c r="BY65" i="1"/>
  <c r="BB65" i="1" s="1"/>
  <c r="CA65" i="1"/>
  <c r="BD65" i="1" s="1"/>
  <c r="CL65" i="1"/>
  <c r="CT65" i="1"/>
  <c r="DB65" i="1" s="1"/>
  <c r="DJ65" i="1"/>
  <c r="DM65" i="1"/>
  <c r="U66" i="1"/>
  <c r="V66" i="1"/>
  <c r="W66" i="1"/>
  <c r="X66" i="1"/>
  <c r="Y66" i="1"/>
  <c r="AA66" i="1"/>
  <c r="AC66" i="1"/>
  <c r="AD66" i="1"/>
  <c r="AE66" i="1"/>
  <c r="AF66" i="1"/>
  <c r="AH66" i="1"/>
  <c r="AR66" i="1"/>
  <c r="BO66" i="1"/>
  <c r="BP66" i="1"/>
  <c r="BQ66" i="1"/>
  <c r="BR66" i="1"/>
  <c r="BS66" i="1"/>
  <c r="BW66" i="1"/>
  <c r="AZ66" i="1" s="1"/>
  <c r="BX66" i="1"/>
  <c r="BY66" i="1"/>
  <c r="BZ66" i="1"/>
  <c r="BC66" i="1" s="1"/>
  <c r="CL66" i="1"/>
  <c r="CT66" i="1"/>
  <c r="DJ66" i="1"/>
  <c r="DM66" i="1"/>
  <c r="U67" i="1"/>
  <c r="V67" i="1"/>
  <c r="W67" i="1"/>
  <c r="X67" i="1"/>
  <c r="Y67" i="1"/>
  <c r="Z67" i="1"/>
  <c r="AC67" i="1"/>
  <c r="AD67" i="1"/>
  <c r="AE67" i="1"/>
  <c r="AF67" i="1"/>
  <c r="AG67" i="1"/>
  <c r="V39" i="2"/>
  <c r="V41" i="2"/>
  <c r="Y27" i="2"/>
  <c r="Y29" i="2"/>
  <c r="V15" i="2"/>
  <c r="V17" i="2"/>
  <c r="BB42" i="1" l="1"/>
  <c r="CQ55" i="1"/>
  <c r="CO55" i="1"/>
  <c r="CV53" i="1"/>
  <c r="CY53" i="1"/>
  <c r="CX53" i="1"/>
  <c r="CW53" i="1"/>
  <c r="CZ51" i="1"/>
  <c r="DC51" i="1" s="1"/>
  <c r="CY51" i="1"/>
  <c r="CW51" i="1"/>
  <c r="CV51" i="1"/>
  <c r="CY49" i="1"/>
  <c r="CX49" i="1"/>
  <c r="DE49" i="1" s="1"/>
  <c r="CW49" i="1"/>
  <c r="CZ49" i="1"/>
  <c r="DC49" i="1" s="1"/>
  <c r="AM43" i="1"/>
  <c r="DK43" i="1" s="1"/>
  <c r="AX43" i="1"/>
  <c r="AS43" i="1"/>
  <c r="CR43" i="1"/>
  <c r="AX42" i="1"/>
  <c r="AV42" i="1"/>
  <c r="AS42" i="1"/>
  <c r="CE50" i="1"/>
  <c r="CE52" i="1" s="1"/>
  <c r="CW52" i="1"/>
  <c r="CX52" i="1"/>
  <c r="CZ52" i="1"/>
  <c r="DC52" i="1" s="1"/>
  <c r="CV52" i="1"/>
  <c r="CY50" i="1"/>
  <c r="DD50" i="1" s="1"/>
  <c r="CX50" i="1"/>
  <c r="DE50" i="1" s="1"/>
  <c r="CV50" i="1"/>
  <c r="CZ50" i="1"/>
  <c r="DC50" i="1" s="1"/>
  <c r="AK50" i="1"/>
  <c r="CQ42" i="1"/>
  <c r="BD42" i="1"/>
  <c r="CE43" i="1"/>
  <c r="CP42" i="1"/>
  <c r="CN44" i="1" s="1"/>
  <c r="CI43" i="1"/>
  <c r="AK43" i="1"/>
  <c r="CJ43" i="1"/>
  <c r="AV43" i="1"/>
  <c r="AP43" i="1"/>
  <c r="DK46" i="1" s="1"/>
  <c r="CR42" i="1"/>
  <c r="CN46" i="1" s="1"/>
  <c r="AL43" i="1"/>
  <c r="DK42" i="1" s="1"/>
  <c r="CH43" i="1"/>
  <c r="AN43" i="1"/>
  <c r="DK44" i="1" s="1"/>
  <c r="CP43" i="1"/>
  <c r="CX43" i="1" s="1"/>
  <c r="CZ43" i="1"/>
  <c r="CV43" i="1"/>
  <c r="CY42" i="1"/>
  <c r="CQ43" i="1"/>
  <c r="CY43" i="1" s="1"/>
  <c r="BE43" i="1"/>
  <c r="BC43" i="1"/>
  <c r="AZ43" i="1"/>
  <c r="AW43" i="1"/>
  <c r="AT43" i="1"/>
  <c r="AO43" i="1"/>
  <c r="DK45" i="1" s="1"/>
  <c r="BE42" i="1"/>
  <c r="BC42" i="1"/>
  <c r="AZ42" i="1"/>
  <c r="AW42" i="1"/>
  <c r="AU42" i="1"/>
  <c r="CF43" i="1"/>
  <c r="CE64" i="1"/>
  <c r="CF65" i="1"/>
  <c r="CE58" i="1"/>
  <c r="BA57" i="1"/>
  <c r="AV57" i="1"/>
  <c r="BD56" i="1"/>
  <c r="AX56" i="1"/>
  <c r="AS56" i="1"/>
  <c r="BE44" i="1"/>
  <c r="BB44" i="1"/>
  <c r="AT62" i="1"/>
  <c r="AW44" i="1"/>
  <c r="AT44" i="1"/>
  <c r="CG58" i="1"/>
  <c r="AV60" i="1"/>
  <c r="AT60" i="1"/>
  <c r="BD60" i="1"/>
  <c r="BB60" i="1"/>
  <c r="AN57" i="1"/>
  <c r="DK58" i="1" s="1"/>
  <c r="CR56" i="1"/>
  <c r="CN60" i="1" s="1"/>
  <c r="CR59" i="1"/>
  <c r="CQ60" i="1" s="1"/>
  <c r="CR57" i="1"/>
  <c r="CO60" i="1" s="1"/>
  <c r="BC59" i="1"/>
  <c r="BA59" i="1"/>
  <c r="AX59" i="1"/>
  <c r="AU59" i="1"/>
  <c r="BD58" i="1"/>
  <c r="AT58" i="1"/>
  <c r="AX58" i="1"/>
  <c r="AU58" i="1"/>
  <c r="AS58" i="1"/>
  <c r="BB45" i="1"/>
  <c r="AT45" i="1"/>
  <c r="AU44" i="1"/>
  <c r="CN41" i="1"/>
  <c r="CM42" i="1" s="1"/>
  <c r="AV66" i="1"/>
  <c r="AT66" i="1"/>
  <c r="AV63" i="1"/>
  <c r="CQ58" i="1"/>
  <c r="CP59" i="1" s="1"/>
  <c r="AV62" i="1"/>
  <c r="AZ58" i="1"/>
  <c r="CQ48" i="1"/>
  <c r="CM52" i="1" s="1"/>
  <c r="CU52" i="1" s="1"/>
  <c r="BA48" i="1"/>
  <c r="BI51" i="1" s="1"/>
  <c r="BA46" i="1"/>
  <c r="AW46" i="1"/>
  <c r="CR44" i="1"/>
  <c r="CP46" i="1" s="1"/>
  <c r="CR45" i="1"/>
  <c r="CQ46" i="1" s="1"/>
  <c r="BA44" i="1"/>
  <c r="CP41" i="1"/>
  <c r="CM44" i="1" s="1"/>
  <c r="AP64" i="1"/>
  <c r="BA66" i="1"/>
  <c r="AV64" i="1"/>
  <c r="AS64" i="1"/>
  <c r="CG64" i="1"/>
  <c r="AS63" i="1"/>
  <c r="BD62" i="1"/>
  <c r="CI65" i="1"/>
  <c r="AW62" i="1"/>
  <c r="AU62" i="1"/>
  <c r="CQ62" i="1"/>
  <c r="CM66" i="1" s="1"/>
  <c r="CO62" i="1"/>
  <c r="CM64" i="1" s="1"/>
  <c r="CJ57" i="1"/>
  <c r="AP57" i="1"/>
  <c r="DK60" i="1" s="1"/>
  <c r="CW60" i="1" s="1"/>
  <c r="CG65" i="1"/>
  <c r="AU66" i="1"/>
  <c r="CI64" i="1"/>
  <c r="AW65" i="1"/>
  <c r="AT65" i="1"/>
  <c r="CP64" i="1"/>
  <c r="CO65" i="1" s="1"/>
  <c r="CP62" i="1"/>
  <c r="CM65" i="1" s="1"/>
  <c r="CQ65" i="1"/>
  <c r="CP66" i="1" s="1"/>
  <c r="AN64" i="1"/>
  <c r="DK65" i="1" s="1"/>
  <c r="CU65" i="1" s="1"/>
  <c r="BE58" i="1"/>
  <c r="CF57" i="1"/>
  <c r="BA45" i="1"/>
  <c r="CQ63" i="1"/>
  <c r="CN66" i="1" s="1"/>
  <c r="AO64" i="1"/>
  <c r="DK66" i="1" s="1"/>
  <c r="AU65" i="1"/>
  <c r="CH64" i="1"/>
  <c r="CP63" i="1"/>
  <c r="CN65" i="1" s="1"/>
  <c r="AW64" i="1"/>
  <c r="AT64" i="1"/>
  <c r="CQ64" i="1"/>
  <c r="CO66" i="1" s="1"/>
  <c r="CO63" i="1"/>
  <c r="CN64" i="1" s="1"/>
  <c r="AW63" i="1"/>
  <c r="AU63" i="1"/>
  <c r="CN62" i="1"/>
  <c r="CM63" i="1" s="1"/>
  <c r="CP56" i="1"/>
  <c r="CN58" i="1" s="1"/>
  <c r="CP57" i="1"/>
  <c r="CO58" i="1" s="1"/>
  <c r="BE57" i="1"/>
  <c r="BC57" i="1"/>
  <c r="AZ57" i="1"/>
  <c r="AW57" i="1"/>
  <c r="CQ57" i="1"/>
  <c r="CO59" i="1" s="1"/>
  <c r="AZ56" i="1"/>
  <c r="AW56" i="1"/>
  <c r="AU56" i="1"/>
  <c r="CP48" i="1"/>
  <c r="CM51" i="1" s="1"/>
  <c r="CU51" i="1" s="1"/>
  <c r="AX48" i="1"/>
  <c r="AT48" i="1"/>
  <c r="CO45" i="1"/>
  <c r="CN45" i="1"/>
  <c r="CE65" i="1"/>
  <c r="AS65" i="1"/>
  <c r="BB66" i="1"/>
  <c r="AS66" i="1"/>
  <c r="CH65" i="1"/>
  <c r="CF64" i="1"/>
  <c r="AM64" i="1"/>
  <c r="DK64" i="1" s="1"/>
  <c r="AK64" i="1"/>
  <c r="DK62" i="1" s="1"/>
  <c r="BC60" i="1"/>
  <c r="BA60" i="1"/>
  <c r="AW60" i="1"/>
  <c r="AU60" i="1"/>
  <c r="AS60" i="1"/>
  <c r="BB59" i="1"/>
  <c r="AV59" i="1"/>
  <c r="AO57" i="1"/>
  <c r="DK59" i="1" s="1"/>
  <c r="CI58" i="1"/>
  <c r="BA58" i="1"/>
  <c r="CF58" i="1"/>
  <c r="BB58" i="1"/>
  <c r="AW58" i="1"/>
  <c r="CR58" i="1"/>
  <c r="CP60" i="1" s="1"/>
  <c r="CH57" i="1"/>
  <c r="AT57" i="1"/>
  <c r="CG57" i="1"/>
  <c r="CG59" i="1" s="1"/>
  <c r="BD57" i="1"/>
  <c r="AX57" i="1"/>
  <c r="AS57" i="1"/>
  <c r="AL57" i="1"/>
  <c r="DK56" i="1" s="1"/>
  <c r="BE56" i="1"/>
  <c r="CJ58" i="1"/>
  <c r="BC56" i="1"/>
  <c r="CH58" i="1"/>
  <c r="BB56" i="1"/>
  <c r="AV56" i="1"/>
  <c r="CQ56" i="1"/>
  <c r="CN59" i="1" s="1"/>
  <c r="CO56" i="1"/>
  <c r="CN57" i="1" s="1"/>
  <c r="AK57" i="1"/>
  <c r="DK55" i="1" s="1"/>
  <c r="CR48" i="1"/>
  <c r="CM53" i="1" s="1"/>
  <c r="CU53" i="1" s="1"/>
  <c r="AT46" i="1"/>
  <c r="AL64" i="1"/>
  <c r="DK63" i="1" s="1"/>
  <c r="AZ60" i="1"/>
  <c r="CI57" i="1"/>
  <c r="CI59" i="1" s="1"/>
  <c r="AS59" i="1"/>
  <c r="BE59" i="1"/>
  <c r="AZ59" i="1"/>
  <c r="AT59" i="1"/>
  <c r="AM57" i="1"/>
  <c r="DK57" i="1" s="1"/>
  <c r="CE57" i="1"/>
  <c r="CE59" i="1" s="1"/>
  <c r="DK48" i="1"/>
  <c r="BC46" i="1"/>
  <c r="AV46" i="1"/>
  <c r="AU46" i="1"/>
  <c r="BB46" i="1"/>
  <c r="AS46" i="1"/>
  <c r="AZ46" i="1"/>
  <c r="BD46" i="1"/>
  <c r="BE41" i="1"/>
  <c r="AX41" i="1"/>
  <c r="BC41" i="1"/>
  <c r="CH44" i="1"/>
  <c r="BA41" i="1"/>
  <c r="AT41" i="1"/>
  <c r="CF44" i="1"/>
  <c r="AW41" i="1"/>
  <c r="BD41" i="1"/>
  <c r="AU41" i="1"/>
  <c r="BB41" i="1"/>
  <c r="CO48" i="1"/>
  <c r="CM50" i="1" s="1"/>
  <c r="CU50" i="1" s="1"/>
  <c r="BD48" i="1"/>
  <c r="BL51" i="1" s="1"/>
  <c r="AW48" i="1"/>
  <c r="BB48" i="1"/>
  <c r="BJ51" i="1" s="1"/>
  <c r="AV48" i="1"/>
  <c r="BC48" i="1"/>
  <c r="BK51" i="1" s="1"/>
  <c r="BE48" i="1"/>
  <c r="BM51" i="1" s="1"/>
  <c r="AU48" i="1"/>
  <c r="CJ44" i="1"/>
  <c r="CI44" i="1"/>
  <c r="CG44" i="1"/>
  <c r="CG45" i="1" s="1"/>
  <c r="AV41" i="1"/>
  <c r="CN48" i="1"/>
  <c r="CM49" i="1" s="1"/>
  <c r="CU49" i="1" s="1"/>
  <c r="BE45" i="1"/>
  <c r="AX45" i="1"/>
  <c r="AZ45" i="1"/>
  <c r="AS45" i="1"/>
  <c r="AV45" i="1"/>
  <c r="BC45" i="1"/>
  <c r="AU45" i="1"/>
  <c r="CR41" i="1"/>
  <c r="CM46" i="1" s="1"/>
  <c r="AZ44" i="1"/>
  <c r="CE44" i="1"/>
  <c r="BD44" i="1"/>
  <c r="AX44" i="1"/>
  <c r="AS44" i="1"/>
  <c r="CQ44" i="1"/>
  <c r="CP45" i="1" s="1"/>
  <c r="DK41" i="1"/>
  <c r="CO46" i="1"/>
  <c r="CO44" i="1"/>
  <c r="CQ41" i="1"/>
  <c r="CM45" i="1" s="1"/>
  <c r="CO41" i="1"/>
  <c r="CM43" i="1" s="1"/>
  <c r="CU43" i="1" s="1"/>
  <c r="AG19" i="2"/>
  <c r="AF6" i="2"/>
  <c r="DD51" i="1" l="1"/>
  <c r="BH51" i="1"/>
  <c r="DF49" i="1"/>
  <c r="DD49" i="1"/>
  <c r="CV55" i="1"/>
  <c r="CX55" i="1"/>
  <c r="CZ55" i="1"/>
  <c r="CW55" i="1"/>
  <c r="CY55" i="1"/>
  <c r="CV60" i="1"/>
  <c r="CI66" i="1"/>
  <c r="CX42" i="1"/>
  <c r="CU42" i="1"/>
  <c r="CZ42" i="1"/>
  <c r="CW42" i="1"/>
  <c r="DF42" i="1" s="1"/>
  <c r="CW58" i="1"/>
  <c r="CU66" i="1"/>
  <c r="CE66" i="1"/>
  <c r="CY60" i="1"/>
  <c r="CH66" i="1"/>
  <c r="CV58" i="1"/>
  <c r="CF59" i="1"/>
  <c r="CX60" i="1"/>
  <c r="BJ65" i="1"/>
  <c r="CV65" i="1"/>
  <c r="BH65" i="1"/>
  <c r="CY58" i="1"/>
  <c r="CF66" i="1"/>
  <c r="CW66" i="1"/>
  <c r="BI65" i="1"/>
  <c r="CW65" i="1"/>
  <c r="CF45" i="1"/>
  <c r="CX66" i="1"/>
  <c r="BK44" i="1"/>
  <c r="BI44" i="1"/>
  <c r="CI45" i="1"/>
  <c r="CH45" i="1"/>
  <c r="BI58" i="1"/>
  <c r="CJ59" i="1"/>
  <c r="BL65" i="1"/>
  <c r="BK65" i="1"/>
  <c r="CV66" i="1"/>
  <c r="CY65" i="1"/>
  <c r="DC65" i="1" s="1"/>
  <c r="CG66" i="1"/>
  <c r="CV45" i="1"/>
  <c r="DD42" i="1" s="1"/>
  <c r="CX45" i="1"/>
  <c r="CU45" i="1"/>
  <c r="CZ45" i="1"/>
  <c r="CW45" i="1"/>
  <c r="DD43" i="1" s="1"/>
  <c r="CW41" i="1"/>
  <c r="DF41" i="1" s="1"/>
  <c r="CY41" i="1"/>
  <c r="CX41" i="1"/>
  <c r="CV41" i="1"/>
  <c r="DG41" i="1" s="1"/>
  <c r="CZ41" i="1"/>
  <c r="BJ44" i="1"/>
  <c r="CE45" i="1"/>
  <c r="BH44" i="1"/>
  <c r="BM44" i="1"/>
  <c r="BH58" i="1"/>
  <c r="BL58" i="1"/>
  <c r="CW56" i="1"/>
  <c r="CY56" i="1"/>
  <c r="CZ56" i="1"/>
  <c r="CX56" i="1"/>
  <c r="DE56" i="1" s="1"/>
  <c r="CH59" i="1"/>
  <c r="BK58" i="1"/>
  <c r="CW62" i="1"/>
  <c r="CY62" i="1"/>
  <c r="DC62" i="1" s="1"/>
  <c r="CV62" i="1"/>
  <c r="CX62" i="1"/>
  <c r="DD62" i="1" s="1"/>
  <c r="CZ58" i="1"/>
  <c r="CV44" i="1"/>
  <c r="CY44" i="1"/>
  <c r="CW44" i="1"/>
  <c r="DE43" i="1" s="1"/>
  <c r="CU44" i="1"/>
  <c r="CZ44" i="1"/>
  <c r="BL44" i="1"/>
  <c r="CU46" i="1"/>
  <c r="CW46" i="1"/>
  <c r="DC43" i="1" s="1"/>
  <c r="CY46" i="1"/>
  <c r="CX46" i="1"/>
  <c r="CV46" i="1"/>
  <c r="CJ45" i="1"/>
  <c r="CW48" i="1"/>
  <c r="CY48" i="1"/>
  <c r="CV48" i="1"/>
  <c r="DG48" i="1" s="1"/>
  <c r="CZ48" i="1"/>
  <c r="CX48" i="1"/>
  <c r="CV57" i="1"/>
  <c r="CY57" i="1"/>
  <c r="CZ57" i="1"/>
  <c r="DC57" i="1" s="1"/>
  <c r="CX57" i="1"/>
  <c r="CU63" i="1"/>
  <c r="CX63" i="1"/>
  <c r="DD63" i="1" s="1"/>
  <c r="CW63" i="1"/>
  <c r="CY63" i="1"/>
  <c r="BJ58" i="1"/>
  <c r="CW59" i="1"/>
  <c r="CZ59" i="1"/>
  <c r="DC59" i="1" s="1"/>
  <c r="CV59" i="1"/>
  <c r="CX59" i="1"/>
  <c r="DD58" i="1" s="1"/>
  <c r="BM58" i="1"/>
  <c r="CV64" i="1"/>
  <c r="CY64" i="1"/>
  <c r="CU64" i="1"/>
  <c r="CX64" i="1"/>
  <c r="G46" i="1"/>
  <c r="O47" i="1" s="1"/>
  <c r="G44" i="1"/>
  <c r="N47" i="1" s="1"/>
  <c r="E16" i="2"/>
  <c r="E15" i="2"/>
  <c r="E14" i="2"/>
  <c r="E12" i="2"/>
  <c r="E11" i="2"/>
  <c r="B15" i="2"/>
  <c r="B13" i="2"/>
  <c r="B12" i="2"/>
  <c r="B18" i="2"/>
  <c r="B19" i="2"/>
  <c r="B21" i="2"/>
  <c r="E46" i="2"/>
  <c r="E45" i="2"/>
  <c r="B45" i="2"/>
  <c r="E44" i="2"/>
  <c r="B43" i="2"/>
  <c r="E42" i="2"/>
  <c r="B42" i="2"/>
  <c r="E41" i="2"/>
  <c r="E40" i="2"/>
  <c r="E39" i="2"/>
  <c r="B39" i="2"/>
  <c r="E38" i="2"/>
  <c r="B37" i="2"/>
  <c r="E36" i="2"/>
  <c r="B36" i="2"/>
  <c r="E35" i="2"/>
  <c r="E34" i="2"/>
  <c r="E33" i="2"/>
  <c r="B33" i="2"/>
  <c r="E32" i="2"/>
  <c r="B31" i="2"/>
  <c r="E30" i="2"/>
  <c r="B30" i="2"/>
  <c r="E29" i="2"/>
  <c r="E28" i="2"/>
  <c r="E27" i="2"/>
  <c r="B27" i="2"/>
  <c r="E26" i="2"/>
  <c r="B25" i="2"/>
  <c r="B24" i="2"/>
  <c r="E23" i="2"/>
  <c r="E22" i="2"/>
  <c r="E21" i="2"/>
  <c r="E20" i="2"/>
  <c r="E18" i="2"/>
  <c r="E17" i="2"/>
  <c r="DQ10" i="2"/>
  <c r="DQ8" i="2"/>
  <c r="DQ7" i="2"/>
  <c r="DK7" i="2"/>
  <c r="DL38" i="2" l="1"/>
  <c r="DL40" i="2"/>
  <c r="DL37" i="2"/>
  <c r="DL39" i="2"/>
  <c r="DL31" i="2"/>
  <c r="DL33" i="2"/>
  <c r="DL32" i="2"/>
  <c r="DL34" i="2"/>
  <c r="DL26" i="2"/>
  <c r="DL28" i="2"/>
  <c r="DL25" i="2"/>
  <c r="DL27" i="2"/>
  <c r="DL19" i="2"/>
  <c r="DL20" i="2"/>
  <c r="DL21" i="2"/>
  <c r="DL22" i="2"/>
  <c r="DL13" i="2"/>
  <c r="DL15" i="2"/>
  <c r="DL14" i="2"/>
  <c r="DL16" i="2"/>
  <c r="DC56" i="1"/>
  <c r="DE42" i="1"/>
  <c r="DC42" i="1"/>
  <c r="DC58" i="1"/>
  <c r="DC63" i="1"/>
  <c r="DE57" i="1"/>
  <c r="DD64" i="1"/>
  <c r="DC64" i="1"/>
  <c r="DF48" i="1"/>
  <c r="DD44" i="1"/>
  <c r="DF56" i="1"/>
  <c r="DE41" i="1"/>
  <c r="DE63" i="1"/>
  <c r="DE48" i="1"/>
  <c r="DC44" i="1"/>
  <c r="DD57" i="1"/>
  <c r="DC48" i="1"/>
  <c r="DD48" i="1"/>
  <c r="DF62" i="1"/>
  <c r="DE62" i="1"/>
  <c r="DD56" i="1"/>
  <c r="DD41" i="1"/>
  <c r="DC45" i="1"/>
  <c r="DC41" i="1"/>
  <c r="AW37" i="2" l="1"/>
  <c r="AX36" i="2" s="1"/>
  <c r="AW13" i="2"/>
  <c r="AX12" i="2" s="1"/>
  <c r="BC37" i="2"/>
  <c r="AW33" i="2"/>
  <c r="AW32" i="2"/>
  <c r="AW31" i="2"/>
  <c r="AW26" i="2"/>
  <c r="AW28" i="2"/>
  <c r="AW27" i="2"/>
  <c r="AW25" i="2"/>
  <c r="AW21" i="2"/>
  <c r="AW20" i="2"/>
  <c r="AW22" i="2"/>
  <c r="AW14" i="2"/>
  <c r="AW15" i="2"/>
  <c r="AW16" i="2"/>
  <c r="AW38" i="2"/>
  <c r="AW39" i="2"/>
  <c r="AW40" i="2"/>
  <c r="AW34" i="2"/>
  <c r="AW19" i="2"/>
  <c r="DL8" i="2"/>
  <c r="DL10" i="2"/>
  <c r="DL7" i="2"/>
  <c r="DL9" i="2"/>
  <c r="DL50" i="1"/>
  <c r="DL51" i="1"/>
  <c r="DL53" i="1"/>
  <c r="DL49" i="1"/>
  <c r="DL52" i="1"/>
  <c r="DL42" i="1"/>
  <c r="DL43" i="1"/>
  <c r="DL63" i="1"/>
  <c r="DL41" i="1"/>
  <c r="DL45" i="1"/>
  <c r="DL46" i="1"/>
  <c r="DL44" i="1"/>
  <c r="DL66" i="1"/>
  <c r="DL64" i="1"/>
  <c r="DL62" i="1"/>
  <c r="DL65" i="1"/>
  <c r="BC13" i="2" l="1"/>
  <c r="BL13" i="2"/>
  <c r="BF13" i="2"/>
  <c r="BO13" i="2" s="1"/>
  <c r="BL37" i="2"/>
  <c r="BF37" i="2"/>
  <c r="BG36" i="2" s="1"/>
  <c r="BF34" i="2"/>
  <c r="BJ30" i="2" s="1"/>
  <c r="BC34" i="2"/>
  <c r="BA30" i="2"/>
  <c r="BA32" i="2" s="1"/>
  <c r="BJ32" i="2" s="1"/>
  <c r="BO34" i="2"/>
  <c r="BL34" i="2"/>
  <c r="AZ36" i="2"/>
  <c r="AZ40" i="2" s="1"/>
  <c r="BI40" i="2" s="1"/>
  <c r="BO39" i="2"/>
  <c r="BC39" i="2"/>
  <c r="BL39" i="2"/>
  <c r="BF39" i="2"/>
  <c r="BI36" i="2" s="1"/>
  <c r="AX39" i="2"/>
  <c r="BG39" i="2" s="1"/>
  <c r="BO16" i="2"/>
  <c r="BL16" i="2"/>
  <c r="BF16" i="2"/>
  <c r="BJ12" i="2" s="1"/>
  <c r="BC16" i="2"/>
  <c r="BA12" i="2"/>
  <c r="BA13" i="2" s="1"/>
  <c r="BJ13" i="2" s="1"/>
  <c r="BO14" i="2"/>
  <c r="BA14" i="2"/>
  <c r="BJ14" i="2" s="1"/>
  <c r="BF14" i="2"/>
  <c r="BH12" i="2" s="1"/>
  <c r="AY12" i="2"/>
  <c r="AY13" i="2" s="1"/>
  <c r="BH13" i="2" s="1"/>
  <c r="BL14" i="2"/>
  <c r="BC14" i="2"/>
  <c r="AX14" i="2"/>
  <c r="BG14" i="2" s="1"/>
  <c r="AX16" i="2"/>
  <c r="BG16" i="2" s="1"/>
  <c r="BO22" i="2"/>
  <c r="BL22" i="2"/>
  <c r="BF22" i="2"/>
  <c r="BJ18" i="2" s="1"/>
  <c r="BC22" i="2"/>
  <c r="BA18" i="2"/>
  <c r="BA20" i="2" s="1"/>
  <c r="BJ20" i="2" s="1"/>
  <c r="BF21" i="2"/>
  <c r="BI18" i="2" s="1"/>
  <c r="AZ18" i="2"/>
  <c r="AZ20" i="2" s="1"/>
  <c r="BI20" i="2" s="1"/>
  <c r="BO21" i="2"/>
  <c r="BC21" i="2"/>
  <c r="BL21" i="2"/>
  <c r="BA21" i="2"/>
  <c r="BJ21" i="2" s="1"/>
  <c r="AZ24" i="2"/>
  <c r="AZ26" i="2" s="1"/>
  <c r="BI26" i="2" s="1"/>
  <c r="BF27" i="2"/>
  <c r="BI24" i="2" s="1"/>
  <c r="BL27" i="2"/>
  <c r="BC27" i="2"/>
  <c r="BO27" i="2"/>
  <c r="AY24" i="2"/>
  <c r="AY28" i="2" s="1"/>
  <c r="BH28" i="2" s="1"/>
  <c r="BL26" i="2"/>
  <c r="BF26" i="2"/>
  <c r="BH24" i="2" s="1"/>
  <c r="BC26" i="2"/>
  <c r="BO26" i="2"/>
  <c r="AY30" i="2"/>
  <c r="AY34" i="2" s="1"/>
  <c r="BH34" i="2" s="1"/>
  <c r="BO32" i="2"/>
  <c r="BC32" i="2"/>
  <c r="BL32" i="2"/>
  <c r="BF32" i="2"/>
  <c r="BH30" i="2" s="1"/>
  <c r="BL19" i="2"/>
  <c r="BC19" i="2"/>
  <c r="AX18" i="2"/>
  <c r="AX22" i="2" s="1"/>
  <c r="BG22" i="2" s="1"/>
  <c r="BF19" i="2"/>
  <c r="AZ19" i="2"/>
  <c r="BI19" i="2" s="1"/>
  <c r="BL40" i="2"/>
  <c r="BF40" i="2"/>
  <c r="BJ36" i="2" s="1"/>
  <c r="BC40" i="2"/>
  <c r="BA36" i="2"/>
  <c r="BO40" i="2"/>
  <c r="BF38" i="2"/>
  <c r="BH36" i="2" s="1"/>
  <c r="BO38" i="2"/>
  <c r="AY36" i="2"/>
  <c r="AY39" i="2" s="1"/>
  <c r="BH39" i="2" s="1"/>
  <c r="BC38" i="2"/>
  <c r="BL38" i="2"/>
  <c r="AX38" i="2"/>
  <c r="BG38" i="2" s="1"/>
  <c r="BF15" i="2"/>
  <c r="BI12" i="2" s="1"/>
  <c r="BC15" i="2"/>
  <c r="BO15" i="2"/>
  <c r="AZ12" i="2"/>
  <c r="AZ13" i="2" s="1"/>
  <c r="BI13" i="2" s="1"/>
  <c r="BL15" i="2"/>
  <c r="AX15" i="2"/>
  <c r="BG15" i="2" s="1"/>
  <c r="BC20" i="2"/>
  <c r="AY18" i="2"/>
  <c r="AY21" i="2" s="1"/>
  <c r="BH21" i="2" s="1"/>
  <c r="BO20" i="2"/>
  <c r="BL20" i="2"/>
  <c r="BF20" i="2"/>
  <c r="BH18" i="2" s="1"/>
  <c r="BF25" i="2"/>
  <c r="BL25" i="2"/>
  <c r="AX24" i="2"/>
  <c r="AX27" i="2" s="1"/>
  <c r="BG27" i="2" s="1"/>
  <c r="BC25" i="2"/>
  <c r="BA24" i="2"/>
  <c r="BA26" i="2" s="1"/>
  <c r="BJ26" i="2" s="1"/>
  <c r="BL28" i="2"/>
  <c r="BO28" i="2"/>
  <c r="BC28" i="2"/>
  <c r="BF28" i="2"/>
  <c r="BJ24" i="2" s="1"/>
  <c r="BF31" i="2"/>
  <c r="BL31" i="2"/>
  <c r="BC31" i="2"/>
  <c r="AX30" i="2"/>
  <c r="AX34" i="2" s="1"/>
  <c r="BG34" i="2" s="1"/>
  <c r="BF33" i="2"/>
  <c r="BI30" i="2" s="1"/>
  <c r="AZ30" i="2"/>
  <c r="AZ31" i="2" s="1"/>
  <c r="BI31" i="2" s="1"/>
  <c r="BO33" i="2"/>
  <c r="BC33" i="2"/>
  <c r="BL33" i="2"/>
  <c r="BO37" i="2"/>
  <c r="AX40" i="2"/>
  <c r="BG40" i="2" s="1"/>
  <c r="AW7" i="2"/>
  <c r="AW9" i="2"/>
  <c r="AW10" i="2"/>
  <c r="AW8" i="2"/>
  <c r="DP42" i="1"/>
  <c r="DR42" i="1" s="1"/>
  <c r="DP43" i="1"/>
  <c r="DR43" i="1" s="1"/>
  <c r="DP62" i="1"/>
  <c r="DR62" i="1" s="1"/>
  <c r="DP63" i="1"/>
  <c r="DR63" i="1" s="1"/>
  <c r="DP64" i="1"/>
  <c r="DR64" i="1" s="1"/>
  <c r="DP65" i="1"/>
  <c r="DR65" i="1" s="1"/>
  <c r="DP66" i="1"/>
  <c r="DR66" i="1" s="1"/>
  <c r="DP41" i="1"/>
  <c r="DR41" i="1" s="1"/>
  <c r="DP45" i="1"/>
  <c r="DR45" i="1" s="1"/>
  <c r="DP46" i="1"/>
  <c r="DR46" i="1" s="1"/>
  <c r="DP44" i="1"/>
  <c r="DR44" i="1" s="1"/>
  <c r="S47" i="2"/>
  <c r="S45" i="2"/>
  <c r="AX20" i="2" l="1"/>
  <c r="BG20" i="2" s="1"/>
  <c r="BP20" i="2" s="1"/>
  <c r="AZ28" i="2"/>
  <c r="BI28" i="2" s="1"/>
  <c r="AY25" i="2"/>
  <c r="BH25" i="2" s="1"/>
  <c r="AY15" i="2"/>
  <c r="BH15" i="2" s="1"/>
  <c r="BA15" i="2"/>
  <c r="BJ15" i="2" s="1"/>
  <c r="BP13" i="2"/>
  <c r="BD13" i="2"/>
  <c r="BM13" i="2"/>
  <c r="BG12" i="2"/>
  <c r="AZ25" i="2"/>
  <c r="BI25" i="2" s="1"/>
  <c r="AY27" i="2"/>
  <c r="BH27" i="2" s="1"/>
  <c r="AY33" i="2"/>
  <c r="BH33" i="2" s="1"/>
  <c r="BA19" i="2"/>
  <c r="BJ19" i="2" s="1"/>
  <c r="AX28" i="2"/>
  <c r="BG28" i="2" s="1"/>
  <c r="AZ22" i="2"/>
  <c r="BI22" i="2" s="1"/>
  <c r="BA31" i="2"/>
  <c r="BJ31" i="2" s="1"/>
  <c r="AZ34" i="2"/>
  <c r="BI34" i="2" s="1"/>
  <c r="BP34" i="2" s="1"/>
  <c r="BG24" i="2"/>
  <c r="BO25" i="2"/>
  <c r="BA38" i="2"/>
  <c r="BJ38" i="2" s="1"/>
  <c r="BA37" i="2"/>
  <c r="BJ37" i="2" s="1"/>
  <c r="AY19" i="2"/>
  <c r="BH19" i="2" s="1"/>
  <c r="AX32" i="2"/>
  <c r="BG32" i="2" s="1"/>
  <c r="AY22" i="2"/>
  <c r="BH22" i="2" s="1"/>
  <c r="AZ14" i="2"/>
  <c r="BI14" i="2" s="1"/>
  <c r="BP14" i="2" s="1"/>
  <c r="AY16" i="2"/>
  <c r="BH16" i="2" s="1"/>
  <c r="AZ38" i="2"/>
  <c r="BI38" i="2" s="1"/>
  <c r="AZ37" i="2"/>
  <c r="BI37" i="2" s="1"/>
  <c r="AX33" i="2"/>
  <c r="BG33" i="2" s="1"/>
  <c r="BA33" i="2"/>
  <c r="BJ33" i="2" s="1"/>
  <c r="AY31" i="2"/>
  <c r="BH31" i="2" s="1"/>
  <c r="BG30" i="2"/>
  <c r="BO31" i="2"/>
  <c r="BA25" i="2"/>
  <c r="BJ25" i="2" s="1"/>
  <c r="AY40" i="2"/>
  <c r="BH40" i="2" s="1"/>
  <c r="AY37" i="2"/>
  <c r="BG18" i="2"/>
  <c r="BO19" i="2"/>
  <c r="AZ32" i="2"/>
  <c r="BI32" i="2" s="1"/>
  <c r="AX26" i="2"/>
  <c r="BG26" i="2" s="1"/>
  <c r="BP26" i="2" s="1"/>
  <c r="BA27" i="2"/>
  <c r="BJ27" i="2" s="1"/>
  <c r="AX21" i="2"/>
  <c r="BG21" i="2" s="1"/>
  <c r="AZ16" i="2"/>
  <c r="BI16" i="2" s="1"/>
  <c r="BA39" i="2"/>
  <c r="BJ39" i="2" s="1"/>
  <c r="BL8" i="2"/>
  <c r="BO8" i="2"/>
  <c r="BF7" i="2"/>
  <c r="BL7" i="2"/>
  <c r="BL10" i="2"/>
  <c r="BO10" i="2"/>
  <c r="BL9" i="2"/>
  <c r="BO9" i="2"/>
  <c r="BF8" i="2"/>
  <c r="BH6" i="2" s="1"/>
  <c r="BC7" i="2"/>
  <c r="AX6" i="2"/>
  <c r="AX8" i="2" s="1"/>
  <c r="BA6" i="2"/>
  <c r="BA9" i="2" s="1"/>
  <c r="BC10" i="2"/>
  <c r="BC8" i="2"/>
  <c r="BC9" i="2"/>
  <c r="AY6" i="2"/>
  <c r="AY7" i="2" s="1"/>
  <c r="BF9" i="2"/>
  <c r="AZ6" i="2"/>
  <c r="AZ8" i="2" s="1"/>
  <c r="BF10" i="2"/>
  <c r="S23" i="2"/>
  <c r="S35" i="2"/>
  <c r="BD20" i="2" l="1"/>
  <c r="BM39" i="2"/>
  <c r="BP38" i="2"/>
  <c r="BD39" i="2"/>
  <c r="BM40" i="2"/>
  <c r="BP39" i="2"/>
  <c r="BD40" i="2"/>
  <c r="BM20" i="2"/>
  <c r="BM21" i="2"/>
  <c r="BD19" i="2"/>
  <c r="BH37" i="2"/>
  <c r="BD37" i="2"/>
  <c r="BP40" i="2"/>
  <c r="BD38" i="2"/>
  <c r="BS40" i="2"/>
  <c r="DM40" i="2" s="1"/>
  <c r="BP15" i="2"/>
  <c r="BP27" i="2"/>
  <c r="BP32" i="2"/>
  <c r="BM32" i="2"/>
  <c r="BP31" i="2"/>
  <c r="BM31" i="2"/>
  <c r="BM33" i="2"/>
  <c r="BM27" i="2"/>
  <c r="BD34" i="2"/>
  <c r="BD32" i="2"/>
  <c r="BP33" i="2"/>
  <c r="BM34" i="2"/>
  <c r="BD33" i="2"/>
  <c r="BS33" i="2" s="1"/>
  <c r="DM33" i="2" s="1"/>
  <c r="BD31" i="2"/>
  <c r="BD27" i="2"/>
  <c r="BM28" i="2"/>
  <c r="BD28" i="2"/>
  <c r="BM25" i="2"/>
  <c r="BP28" i="2"/>
  <c r="BP25" i="2"/>
  <c r="BD25" i="2"/>
  <c r="BM26" i="2"/>
  <c r="BD26" i="2"/>
  <c r="BP21" i="2"/>
  <c r="BD21" i="2"/>
  <c r="BD15" i="2"/>
  <c r="BS13" i="2"/>
  <c r="DM13" i="2" s="1"/>
  <c r="BD16" i="2"/>
  <c r="BM14" i="2"/>
  <c r="BM15" i="2"/>
  <c r="BM16" i="2"/>
  <c r="BP16" i="2"/>
  <c r="BD14" i="2"/>
  <c r="BM22" i="2"/>
  <c r="BP19" i="2"/>
  <c r="BP22" i="2"/>
  <c r="BD22" i="2"/>
  <c r="BM19" i="2"/>
  <c r="AZ10" i="2"/>
  <c r="BA7" i="2"/>
  <c r="BA8" i="2"/>
  <c r="AZ7" i="2"/>
  <c r="BD7" i="2" s="1"/>
  <c r="BG8" i="2"/>
  <c r="BH7" i="2"/>
  <c r="BI8" i="2"/>
  <c r="BJ7" i="2"/>
  <c r="BG6" i="2"/>
  <c r="BO7" i="2"/>
  <c r="BJ6" i="2"/>
  <c r="BI6" i="2"/>
  <c r="AX9" i="2"/>
  <c r="AX10" i="2"/>
  <c r="AY9" i="2"/>
  <c r="AY10" i="2"/>
  <c r="G50" i="1"/>
  <c r="G48" i="1"/>
  <c r="BS20" i="2" l="1"/>
  <c r="DM20" i="2" s="1"/>
  <c r="BS22" i="2"/>
  <c r="DM22" i="2" s="1"/>
  <c r="BS21" i="2"/>
  <c r="DM21" i="2" s="1"/>
  <c r="BS39" i="2"/>
  <c r="DM39" i="2" s="1"/>
  <c r="BS19" i="2"/>
  <c r="DM19" i="2" s="1"/>
  <c r="BS32" i="2"/>
  <c r="DM32" i="2" s="1"/>
  <c r="BP37" i="2"/>
  <c r="BM37" i="2"/>
  <c r="BM38" i="2"/>
  <c r="BS38" i="2" s="1"/>
  <c r="DM38" i="2" s="1"/>
  <c r="BS15" i="2"/>
  <c r="DM15" i="2" s="1"/>
  <c r="BS27" i="2"/>
  <c r="DM27" i="2" s="1"/>
  <c r="BS34" i="2"/>
  <c r="DM34" i="2" s="1"/>
  <c r="BS31" i="2"/>
  <c r="DM31" i="2" s="1"/>
  <c r="BS28" i="2"/>
  <c r="DM28" i="2" s="1"/>
  <c r="BS26" i="2"/>
  <c r="DM26" i="2" s="1"/>
  <c r="BS25" i="2"/>
  <c r="DM25" i="2" s="1"/>
  <c r="BS14" i="2"/>
  <c r="DM14" i="2" s="1"/>
  <c r="BS16" i="2"/>
  <c r="DM16" i="2" s="1"/>
  <c r="BD8" i="2"/>
  <c r="BJ8" i="2"/>
  <c r="BH9" i="2"/>
  <c r="BG10" i="2"/>
  <c r="BI10" i="2"/>
  <c r="BJ9" i="2"/>
  <c r="BI7" i="2"/>
  <c r="BD10" i="2"/>
  <c r="BH10" i="2"/>
  <c r="BD9" i="2"/>
  <c r="BG9" i="2"/>
  <c r="D55" i="1"/>
  <c r="F55" i="1"/>
  <c r="G55" i="1"/>
  <c r="C55" i="1"/>
  <c r="AR20" i="1"/>
  <c r="AR21" i="1"/>
  <c r="AR22" i="1"/>
  <c r="AR23" i="1"/>
  <c r="AR24" i="1"/>
  <c r="AR25" i="1"/>
  <c r="AR27" i="1"/>
  <c r="AR28" i="1"/>
  <c r="AR29" i="1"/>
  <c r="AR30" i="1"/>
  <c r="AR31" i="1"/>
  <c r="AR32" i="1"/>
  <c r="AR34" i="1"/>
  <c r="AR35" i="1"/>
  <c r="AR36" i="1"/>
  <c r="AR37" i="1"/>
  <c r="AR38" i="1"/>
  <c r="AR39" i="1"/>
  <c r="AR13" i="1"/>
  <c r="AR14" i="1"/>
  <c r="AR15" i="1"/>
  <c r="AR16" i="1"/>
  <c r="AR17" i="1"/>
  <c r="AR18" i="1"/>
  <c r="BP7" i="1"/>
  <c r="AR7" i="1"/>
  <c r="AR8" i="1"/>
  <c r="AR9" i="1"/>
  <c r="AR10" i="1"/>
  <c r="AR11" i="1"/>
  <c r="AR6" i="1"/>
  <c r="DV7" i="1"/>
  <c r="E55" i="1" s="1"/>
  <c r="BV32" i="2" l="1"/>
  <c r="CB32" i="2" s="1"/>
  <c r="BT32" i="2"/>
  <c r="BV19" i="2"/>
  <c r="CB19" i="2" s="1"/>
  <c r="BV22" i="2"/>
  <c r="CN22" i="2" s="1"/>
  <c r="BT21" i="2"/>
  <c r="BV21" i="2"/>
  <c r="CB21" i="2" s="1"/>
  <c r="BT22" i="2"/>
  <c r="BT20" i="2"/>
  <c r="BT19" i="2"/>
  <c r="BV20" i="2"/>
  <c r="CN20" i="2" s="1"/>
  <c r="BS37" i="2"/>
  <c r="DM37" i="2" s="1"/>
  <c r="BV34" i="2"/>
  <c r="CN34" i="2" s="1"/>
  <c r="BT33" i="2"/>
  <c r="BT34" i="2"/>
  <c r="BV33" i="2"/>
  <c r="BY30" i="2" s="1"/>
  <c r="BT26" i="2"/>
  <c r="BX30" i="2"/>
  <c r="BT28" i="2"/>
  <c r="BV31" i="2"/>
  <c r="BT31" i="2"/>
  <c r="BV25" i="2"/>
  <c r="BT27" i="2"/>
  <c r="BV26" i="2"/>
  <c r="BV27" i="2"/>
  <c r="BT25" i="2"/>
  <c r="BV28" i="2"/>
  <c r="BV15" i="2"/>
  <c r="BV16" i="2"/>
  <c r="BT16" i="2"/>
  <c r="BT14" i="2"/>
  <c r="BV14" i="2"/>
  <c r="BT15" i="2"/>
  <c r="BV13" i="2"/>
  <c r="BT13" i="2"/>
  <c r="BM7" i="2"/>
  <c r="BP7" i="2"/>
  <c r="BP9" i="2"/>
  <c r="BP10" i="2"/>
  <c r="BM8" i="2"/>
  <c r="BP8" i="2"/>
  <c r="BM10" i="2"/>
  <c r="BM9" i="2"/>
  <c r="DJ13" i="1"/>
  <c r="DM13" i="1"/>
  <c r="DJ14" i="1"/>
  <c r="DM14" i="1"/>
  <c r="DJ15" i="1"/>
  <c r="DM15" i="1"/>
  <c r="DJ16" i="1"/>
  <c r="DM16" i="1"/>
  <c r="DJ17" i="1"/>
  <c r="DM17" i="1"/>
  <c r="DJ18" i="1"/>
  <c r="DM18" i="1"/>
  <c r="DJ20" i="1"/>
  <c r="DM20" i="1"/>
  <c r="DJ21" i="1"/>
  <c r="DM21" i="1"/>
  <c r="DJ22" i="1"/>
  <c r="DM22" i="1"/>
  <c r="DJ23" i="1"/>
  <c r="DM23" i="1"/>
  <c r="DJ24" i="1"/>
  <c r="DM24" i="1"/>
  <c r="DJ25" i="1"/>
  <c r="DM25" i="1"/>
  <c r="DJ27" i="1"/>
  <c r="DM27" i="1"/>
  <c r="DJ28" i="1"/>
  <c r="DM28" i="1"/>
  <c r="DJ29" i="1"/>
  <c r="DM29" i="1"/>
  <c r="DJ30" i="1"/>
  <c r="DM30" i="1"/>
  <c r="DJ31" i="1"/>
  <c r="DM31" i="1"/>
  <c r="DJ32" i="1"/>
  <c r="DM32" i="1"/>
  <c r="DJ34" i="1"/>
  <c r="DM34" i="1"/>
  <c r="DJ35" i="1"/>
  <c r="DM35" i="1"/>
  <c r="DJ36" i="1"/>
  <c r="DM36" i="1"/>
  <c r="DJ37" i="1"/>
  <c r="DM37" i="1"/>
  <c r="DJ38" i="1"/>
  <c r="DM38" i="1"/>
  <c r="DJ39" i="1"/>
  <c r="DM39" i="1"/>
  <c r="DM7" i="1"/>
  <c r="DM8" i="1"/>
  <c r="DM9" i="1"/>
  <c r="DM10" i="1"/>
  <c r="DM11" i="1"/>
  <c r="DM6" i="1"/>
  <c r="DJ7" i="1"/>
  <c r="DJ8" i="1"/>
  <c r="DJ9" i="1"/>
  <c r="DJ10" i="1"/>
  <c r="DJ11" i="1"/>
  <c r="DJ6" i="1"/>
  <c r="CT6" i="1"/>
  <c r="BV40" i="2" l="1"/>
  <c r="BZ36" i="2" s="1"/>
  <c r="BW18" i="2"/>
  <c r="BW21" i="2" s="1"/>
  <c r="CF21" i="2" s="1"/>
  <c r="CK32" i="2"/>
  <c r="BY32" i="2"/>
  <c r="CH32" i="2" s="1"/>
  <c r="BT38" i="2"/>
  <c r="CE32" i="2"/>
  <c r="CG30" i="2" s="1"/>
  <c r="CN32" i="2"/>
  <c r="CE33" i="2"/>
  <c r="CH30" i="2" s="1"/>
  <c r="BY31" i="2"/>
  <c r="CH31" i="2" s="1"/>
  <c r="CN33" i="2"/>
  <c r="CK22" i="2"/>
  <c r="CB34" i="2"/>
  <c r="CK34" i="2"/>
  <c r="BX34" i="2"/>
  <c r="CG34" i="2" s="1"/>
  <c r="CK19" i="2"/>
  <c r="BX31" i="2"/>
  <c r="CG31" i="2" s="1"/>
  <c r="BT40" i="2"/>
  <c r="CE21" i="2"/>
  <c r="CH18" i="2" s="1"/>
  <c r="CB22" i="2"/>
  <c r="CE34" i="2"/>
  <c r="CI30" i="2" s="1"/>
  <c r="BZ30" i="2"/>
  <c r="BZ32" i="2" s="1"/>
  <c r="CI32" i="2" s="1"/>
  <c r="BX33" i="2"/>
  <c r="CG33" i="2" s="1"/>
  <c r="BY34" i="2"/>
  <c r="CH34" i="2" s="1"/>
  <c r="CE19" i="2"/>
  <c r="CN19" i="2" s="1"/>
  <c r="BZ33" i="2"/>
  <c r="CI33" i="2" s="1"/>
  <c r="CB33" i="2"/>
  <c r="CK33" i="2"/>
  <c r="BV37" i="2"/>
  <c r="CK37" i="2" s="1"/>
  <c r="BY18" i="2"/>
  <c r="BY22" i="2" s="1"/>
  <c r="CH22" i="2" s="1"/>
  <c r="BZ18" i="2"/>
  <c r="BZ20" i="2" s="1"/>
  <c r="CI20" i="2" s="1"/>
  <c r="CN21" i="2"/>
  <c r="BW22" i="2"/>
  <c r="CF22" i="2" s="1"/>
  <c r="CE22" i="2"/>
  <c r="CI18" i="2" s="1"/>
  <c r="CK20" i="2"/>
  <c r="CE20" i="2"/>
  <c r="CG18" i="2" s="1"/>
  <c r="CK21" i="2"/>
  <c r="CB20" i="2"/>
  <c r="BX18" i="2"/>
  <c r="BX21" i="2" s="1"/>
  <c r="CG21" i="2" s="1"/>
  <c r="BT39" i="2"/>
  <c r="BT37" i="2"/>
  <c r="BV39" i="2"/>
  <c r="CK39" i="2" s="1"/>
  <c r="BV38" i="2"/>
  <c r="BX36" i="2" s="1"/>
  <c r="CN40" i="2"/>
  <c r="CB31" i="2"/>
  <c r="BW30" i="2"/>
  <c r="CE31" i="2"/>
  <c r="CK31" i="2"/>
  <c r="CK28" i="2"/>
  <c r="CN28" i="2"/>
  <c r="BZ24" i="2"/>
  <c r="BZ27" i="2" s="1"/>
  <c r="CI27" i="2" s="1"/>
  <c r="CE28" i="2"/>
  <c r="CI24" i="2" s="1"/>
  <c r="CB28" i="2"/>
  <c r="BY24" i="2"/>
  <c r="BY26" i="2" s="1"/>
  <c r="CH26" i="2" s="1"/>
  <c r="CE27" i="2"/>
  <c r="CH24" i="2" s="1"/>
  <c r="CN27" i="2"/>
  <c r="CB27" i="2"/>
  <c r="CK27" i="2"/>
  <c r="CB26" i="2"/>
  <c r="CK26" i="2"/>
  <c r="BX24" i="2"/>
  <c r="BX27" i="2" s="1"/>
  <c r="CG27" i="2" s="1"/>
  <c r="CE26" i="2"/>
  <c r="CG24" i="2" s="1"/>
  <c r="CN26" i="2"/>
  <c r="BY25" i="2"/>
  <c r="CH25" i="2" s="1"/>
  <c r="CK25" i="2"/>
  <c r="CB25" i="2"/>
  <c r="BW24" i="2"/>
  <c r="BW28" i="2" s="1"/>
  <c r="CF28" i="2" s="1"/>
  <c r="CE25" i="2"/>
  <c r="BZ12" i="2"/>
  <c r="BZ15" i="2" s="1"/>
  <c r="CI15" i="2" s="1"/>
  <c r="CK16" i="2"/>
  <c r="CB16" i="2"/>
  <c r="CN16" i="2"/>
  <c r="CE16" i="2"/>
  <c r="CI12" i="2" s="1"/>
  <c r="CE13" i="2"/>
  <c r="CK13" i="2"/>
  <c r="BW12" i="2"/>
  <c r="BW15" i="2" s="1"/>
  <c r="CF15" i="2" s="1"/>
  <c r="BZ13" i="2"/>
  <c r="CI13" i="2" s="1"/>
  <c r="CB13" i="2"/>
  <c r="BX12" i="2"/>
  <c r="BX15" i="2" s="1"/>
  <c r="CG15" i="2" s="1"/>
  <c r="CK14" i="2"/>
  <c r="CB14" i="2"/>
  <c r="CE14" i="2"/>
  <c r="CG12" i="2" s="1"/>
  <c r="CN14" i="2"/>
  <c r="CE15" i="2"/>
  <c r="CH12" i="2" s="1"/>
  <c r="CN15" i="2"/>
  <c r="CB15" i="2"/>
  <c r="CK15" i="2"/>
  <c r="BY12" i="2"/>
  <c r="BY13" i="2" s="1"/>
  <c r="CH13" i="2" s="1"/>
  <c r="BW20" i="2"/>
  <c r="CF20" i="2" s="1"/>
  <c r="BS7" i="2"/>
  <c r="DM7" i="2" s="1"/>
  <c r="BS8" i="2"/>
  <c r="DM8" i="2" s="1"/>
  <c r="BS9" i="2"/>
  <c r="DM9" i="2" s="1"/>
  <c r="BS10" i="2"/>
  <c r="DM10" i="2" s="1"/>
  <c r="CT13" i="1"/>
  <c r="DB13" i="1" s="1"/>
  <c r="CT14" i="1"/>
  <c r="DB14" i="1" s="1"/>
  <c r="CT15" i="1"/>
  <c r="DB15" i="1" s="1"/>
  <c r="CT16" i="1"/>
  <c r="DB16" i="1" s="1"/>
  <c r="CT17" i="1"/>
  <c r="DB17" i="1" s="1"/>
  <c r="CT18" i="1"/>
  <c r="CT20" i="1"/>
  <c r="DB20" i="1" s="1"/>
  <c r="CT21" i="1"/>
  <c r="DB21" i="1" s="1"/>
  <c r="CT22" i="1"/>
  <c r="DB22" i="1" s="1"/>
  <c r="CT23" i="1"/>
  <c r="DB23" i="1" s="1"/>
  <c r="CT24" i="1"/>
  <c r="DB24" i="1" s="1"/>
  <c r="CT25" i="1"/>
  <c r="CT27" i="1"/>
  <c r="DB27" i="1" s="1"/>
  <c r="CT28" i="1"/>
  <c r="DB28" i="1" s="1"/>
  <c r="CT29" i="1"/>
  <c r="DB29" i="1" s="1"/>
  <c r="CT30" i="1"/>
  <c r="DB30" i="1" s="1"/>
  <c r="CT31" i="1"/>
  <c r="DB31" i="1" s="1"/>
  <c r="CT32" i="1"/>
  <c r="CT34" i="1"/>
  <c r="DB34" i="1" s="1"/>
  <c r="CT35" i="1"/>
  <c r="DB35" i="1" s="1"/>
  <c r="CT36" i="1"/>
  <c r="DB36" i="1" s="1"/>
  <c r="CT37" i="1"/>
  <c r="DB37" i="1" s="1"/>
  <c r="CT38" i="1"/>
  <c r="DB38" i="1" s="1"/>
  <c r="CT39" i="1"/>
  <c r="CE40" i="2" l="1"/>
  <c r="CI36" i="2" s="1"/>
  <c r="CB40" i="2"/>
  <c r="CK40" i="2"/>
  <c r="BZ31" i="2"/>
  <c r="CI31" i="2" s="1"/>
  <c r="BX22" i="2"/>
  <c r="CG22" i="2" s="1"/>
  <c r="CO22" i="2" s="1"/>
  <c r="CB38" i="2"/>
  <c r="BZ21" i="2"/>
  <c r="CI21" i="2" s="1"/>
  <c r="CO21" i="2" s="1"/>
  <c r="BW36" i="2"/>
  <c r="BW40" i="2" s="1"/>
  <c r="CF40" i="2" s="1"/>
  <c r="CF18" i="2"/>
  <c r="CN38" i="2"/>
  <c r="CK38" i="2"/>
  <c r="CE37" i="2"/>
  <c r="CN37" i="2" s="1"/>
  <c r="BZ19" i="2"/>
  <c r="CI19" i="2" s="1"/>
  <c r="BZ38" i="2"/>
  <c r="CI38" i="2" s="1"/>
  <c r="CE38" i="2"/>
  <c r="CG36" i="2" s="1"/>
  <c r="BZ37" i="2"/>
  <c r="CI37" i="2" s="1"/>
  <c r="CB37" i="2"/>
  <c r="BY19" i="2"/>
  <c r="CH19" i="2" s="1"/>
  <c r="BY20" i="2"/>
  <c r="CH20" i="2" s="1"/>
  <c r="BX19" i="2"/>
  <c r="CG19" i="2" s="1"/>
  <c r="CN39" i="2"/>
  <c r="BZ39" i="2"/>
  <c r="CI39" i="2" s="1"/>
  <c r="CE39" i="2"/>
  <c r="CH36" i="2" s="1"/>
  <c r="BW39" i="2"/>
  <c r="CF39" i="2" s="1"/>
  <c r="CB39" i="2"/>
  <c r="BY36" i="2"/>
  <c r="BX39" i="2"/>
  <c r="CG39" i="2" s="1"/>
  <c r="BX40" i="2"/>
  <c r="BX37" i="2"/>
  <c r="CG37" i="2" s="1"/>
  <c r="CO15" i="2"/>
  <c r="CC15" i="2"/>
  <c r="CN31" i="2"/>
  <c r="CO31" i="2" s="1"/>
  <c r="CF30" i="2"/>
  <c r="BW33" i="2"/>
  <c r="BW34" i="2"/>
  <c r="BW32" i="2"/>
  <c r="BY28" i="2"/>
  <c r="CH28" i="2" s="1"/>
  <c r="BX28" i="2"/>
  <c r="CG28" i="2" s="1"/>
  <c r="BZ26" i="2"/>
  <c r="CI26" i="2" s="1"/>
  <c r="CN25" i="2"/>
  <c r="CF24" i="2"/>
  <c r="BX25" i="2"/>
  <c r="CG25" i="2" s="1"/>
  <c r="BW26" i="2"/>
  <c r="CF26" i="2" s="1"/>
  <c r="BZ25" i="2"/>
  <c r="CI25" i="2" s="1"/>
  <c r="BW27" i="2"/>
  <c r="CF27" i="2" s="1"/>
  <c r="CL27" i="2" s="1"/>
  <c r="BW14" i="2"/>
  <c r="CF14" i="2" s="1"/>
  <c r="BZ14" i="2"/>
  <c r="CI14" i="2" s="1"/>
  <c r="BX13" i="2"/>
  <c r="CG13" i="2" s="1"/>
  <c r="BX16" i="2"/>
  <c r="CG16" i="2" s="1"/>
  <c r="BY16" i="2"/>
  <c r="CH16" i="2" s="1"/>
  <c r="BY14" i="2"/>
  <c r="CH14" i="2" s="1"/>
  <c r="CF12" i="2"/>
  <c r="CN13" i="2"/>
  <c r="BW16" i="2"/>
  <c r="CF16" i="2" s="1"/>
  <c r="BV9" i="2"/>
  <c r="BT9" i="2"/>
  <c r="BV10" i="2"/>
  <c r="BV7" i="2"/>
  <c r="BV8" i="2"/>
  <c r="BT7" i="2"/>
  <c r="BT10" i="2"/>
  <c r="BT8" i="2"/>
  <c r="CL13" i="1"/>
  <c r="CL14" i="1"/>
  <c r="CL15" i="1"/>
  <c r="CL16" i="1"/>
  <c r="CL17" i="1"/>
  <c r="CL18" i="1"/>
  <c r="CL20" i="1"/>
  <c r="CL21" i="1"/>
  <c r="CL22" i="1"/>
  <c r="CL23" i="1"/>
  <c r="CL24" i="1"/>
  <c r="CL25" i="1"/>
  <c r="CL27" i="1"/>
  <c r="CL28" i="1"/>
  <c r="CL29" i="1"/>
  <c r="CL30" i="1"/>
  <c r="CL31" i="1"/>
  <c r="CL32" i="1"/>
  <c r="CL34" i="1"/>
  <c r="CL35" i="1"/>
  <c r="CL36" i="1"/>
  <c r="CL37" i="1"/>
  <c r="CL38" i="1"/>
  <c r="CL39" i="1"/>
  <c r="CT7" i="1"/>
  <c r="DB7" i="1" s="1"/>
  <c r="CT8" i="1"/>
  <c r="DB8" i="1" s="1"/>
  <c r="CT9" i="1"/>
  <c r="DB9" i="1" s="1"/>
  <c r="CT10" i="1"/>
  <c r="DB10" i="1" s="1"/>
  <c r="CT11" i="1"/>
  <c r="DB6" i="1"/>
  <c r="CL11" i="1"/>
  <c r="CL7" i="1"/>
  <c r="CL8" i="1"/>
  <c r="CL9" i="1"/>
  <c r="CL10" i="1"/>
  <c r="CL6" i="1"/>
  <c r="BX13" i="1"/>
  <c r="BY13" i="1"/>
  <c r="BZ13" i="1"/>
  <c r="CA13" i="1"/>
  <c r="CB13" i="1"/>
  <c r="BW14" i="1"/>
  <c r="BY14" i="1"/>
  <c r="BZ14" i="1"/>
  <c r="CA14" i="1"/>
  <c r="CB14" i="1"/>
  <c r="BW15" i="1"/>
  <c r="BX15" i="1"/>
  <c r="BZ15" i="1"/>
  <c r="CA15" i="1"/>
  <c r="CB15" i="1"/>
  <c r="BW16" i="1"/>
  <c r="BX16" i="1"/>
  <c r="BY16" i="1"/>
  <c r="CA16" i="1"/>
  <c r="CB16" i="1"/>
  <c r="BW17" i="1"/>
  <c r="BX17" i="1"/>
  <c r="BY17" i="1"/>
  <c r="BZ17" i="1"/>
  <c r="CB17" i="1"/>
  <c r="BW18" i="1"/>
  <c r="BX18" i="1"/>
  <c r="BY18" i="1"/>
  <c r="BZ18" i="1"/>
  <c r="CA18" i="1"/>
  <c r="BX20" i="1"/>
  <c r="BY20" i="1"/>
  <c r="BZ20" i="1"/>
  <c r="CA20" i="1"/>
  <c r="CB20" i="1"/>
  <c r="BW21" i="1"/>
  <c r="BY21" i="1"/>
  <c r="BZ21" i="1"/>
  <c r="CA21" i="1"/>
  <c r="CB21" i="1"/>
  <c r="BW22" i="1"/>
  <c r="BX22" i="1"/>
  <c r="BZ22" i="1"/>
  <c r="CA22" i="1"/>
  <c r="CB22" i="1"/>
  <c r="BW23" i="1"/>
  <c r="BX23" i="1"/>
  <c r="BY23" i="1"/>
  <c r="CA23" i="1"/>
  <c r="CB23" i="1"/>
  <c r="BW24" i="1"/>
  <c r="BX24" i="1"/>
  <c r="BY24" i="1"/>
  <c r="BZ24" i="1"/>
  <c r="CB24" i="1"/>
  <c r="BW25" i="1"/>
  <c r="BX25" i="1"/>
  <c r="BY25" i="1"/>
  <c r="BZ25" i="1"/>
  <c r="CA25" i="1"/>
  <c r="BX27" i="1"/>
  <c r="BY27" i="1"/>
  <c r="BZ27" i="1"/>
  <c r="CA27" i="1"/>
  <c r="CB27" i="1"/>
  <c r="BW28" i="1"/>
  <c r="BY28" i="1"/>
  <c r="BZ28" i="1"/>
  <c r="CA28" i="1"/>
  <c r="CB28" i="1"/>
  <c r="BW29" i="1"/>
  <c r="BX29" i="1"/>
  <c r="BZ29" i="1"/>
  <c r="CA29" i="1"/>
  <c r="CB29" i="1"/>
  <c r="BW30" i="1"/>
  <c r="BX30" i="1"/>
  <c r="BY30" i="1"/>
  <c r="CA30" i="1"/>
  <c r="CB30" i="1"/>
  <c r="BW31" i="1"/>
  <c r="BX31" i="1"/>
  <c r="BY31" i="1"/>
  <c r="BZ31" i="1"/>
  <c r="CB31" i="1"/>
  <c r="BW32" i="1"/>
  <c r="BX32" i="1"/>
  <c r="BY32" i="1"/>
  <c r="BZ32" i="1"/>
  <c r="CA32" i="1"/>
  <c r="BX34" i="1"/>
  <c r="BY34" i="1"/>
  <c r="BZ34" i="1"/>
  <c r="CA34" i="1"/>
  <c r="CB34" i="1"/>
  <c r="BW35" i="1"/>
  <c r="BY35" i="1"/>
  <c r="BZ35" i="1"/>
  <c r="CA35" i="1"/>
  <c r="CB35" i="1"/>
  <c r="BW36" i="1"/>
  <c r="BX36" i="1"/>
  <c r="BZ36" i="1"/>
  <c r="CA36" i="1"/>
  <c r="CB36" i="1"/>
  <c r="BW37" i="1"/>
  <c r="BX37" i="1"/>
  <c r="BY37" i="1"/>
  <c r="CA37" i="1"/>
  <c r="CB37" i="1"/>
  <c r="BW38" i="1"/>
  <c r="BX38" i="1"/>
  <c r="BY38" i="1"/>
  <c r="BZ38" i="1"/>
  <c r="CB38" i="1"/>
  <c r="BW39" i="1"/>
  <c r="BX39" i="1"/>
  <c r="BY39" i="1"/>
  <c r="BZ39" i="1"/>
  <c r="CA39" i="1"/>
  <c r="BO13" i="1"/>
  <c r="BQ13" i="1"/>
  <c r="BR13" i="1"/>
  <c r="BS13" i="1"/>
  <c r="BT13" i="1"/>
  <c r="BU13" i="1"/>
  <c r="BO14" i="1"/>
  <c r="BP14" i="1"/>
  <c r="AS14" i="1" s="1"/>
  <c r="BR14" i="1"/>
  <c r="AU14" i="1" s="1"/>
  <c r="BS14" i="1"/>
  <c r="AV14" i="1" s="1"/>
  <c r="BT14" i="1"/>
  <c r="AW14" i="1" s="1"/>
  <c r="BU14" i="1"/>
  <c r="AX14" i="1" s="1"/>
  <c r="BO15" i="1"/>
  <c r="BP15" i="1"/>
  <c r="BQ15" i="1"/>
  <c r="BS15" i="1"/>
  <c r="BT15" i="1"/>
  <c r="BU15" i="1"/>
  <c r="BO16" i="1"/>
  <c r="BP16" i="1"/>
  <c r="AS16" i="1" s="1"/>
  <c r="BQ16" i="1"/>
  <c r="AT16" i="1" s="1"/>
  <c r="BR16" i="1"/>
  <c r="AU16" i="1" s="1"/>
  <c r="BT16" i="1"/>
  <c r="AW16" i="1" s="1"/>
  <c r="BU16" i="1"/>
  <c r="AX16" i="1" s="1"/>
  <c r="BO17" i="1"/>
  <c r="BP17" i="1"/>
  <c r="BQ17" i="1"/>
  <c r="BR17" i="1"/>
  <c r="BS17" i="1"/>
  <c r="BU17" i="1"/>
  <c r="BO18" i="1"/>
  <c r="BP18" i="1"/>
  <c r="AS18" i="1" s="1"/>
  <c r="BQ18" i="1"/>
  <c r="AT18" i="1" s="1"/>
  <c r="BR18" i="1"/>
  <c r="AU18" i="1" s="1"/>
  <c r="BS18" i="1"/>
  <c r="AV18" i="1" s="1"/>
  <c r="BT18" i="1"/>
  <c r="AW18" i="1" s="1"/>
  <c r="BO20" i="1"/>
  <c r="BQ20" i="1"/>
  <c r="BR20" i="1"/>
  <c r="BS20" i="1"/>
  <c r="BT20" i="1"/>
  <c r="BU20" i="1"/>
  <c r="BO21" i="1"/>
  <c r="BP21" i="1"/>
  <c r="AS21" i="1" s="1"/>
  <c r="BR21" i="1"/>
  <c r="AU21" i="1" s="1"/>
  <c r="BS21" i="1"/>
  <c r="AV21" i="1" s="1"/>
  <c r="BT21" i="1"/>
  <c r="AW21" i="1" s="1"/>
  <c r="BU21" i="1"/>
  <c r="AX21" i="1" s="1"/>
  <c r="BO22" i="1"/>
  <c r="BP22" i="1"/>
  <c r="BQ22" i="1"/>
  <c r="BS22" i="1"/>
  <c r="BT22" i="1"/>
  <c r="BU22" i="1"/>
  <c r="BO23" i="1"/>
  <c r="BP23" i="1"/>
  <c r="AS23" i="1" s="1"/>
  <c r="BQ23" i="1"/>
  <c r="AT23" i="1" s="1"/>
  <c r="BR23" i="1"/>
  <c r="AU23" i="1" s="1"/>
  <c r="BT23" i="1"/>
  <c r="AW23" i="1" s="1"/>
  <c r="BU23" i="1"/>
  <c r="AX23" i="1" s="1"/>
  <c r="BO24" i="1"/>
  <c r="BP24" i="1"/>
  <c r="BQ24" i="1"/>
  <c r="BR24" i="1"/>
  <c r="BS24" i="1"/>
  <c r="BU24" i="1"/>
  <c r="BO25" i="1"/>
  <c r="BP25" i="1"/>
  <c r="BQ25" i="1"/>
  <c r="AT25" i="1" s="1"/>
  <c r="BR25" i="1"/>
  <c r="AU25" i="1" s="1"/>
  <c r="BS25" i="1"/>
  <c r="AV25" i="1" s="1"/>
  <c r="BT25" i="1"/>
  <c r="AW25" i="1" s="1"/>
  <c r="BO27" i="1"/>
  <c r="BQ27" i="1"/>
  <c r="BR27" i="1"/>
  <c r="BS27" i="1"/>
  <c r="BT27" i="1"/>
  <c r="BU27" i="1"/>
  <c r="BO28" i="1"/>
  <c r="BP28" i="1"/>
  <c r="AS28" i="1" s="1"/>
  <c r="BR28" i="1"/>
  <c r="AU28" i="1" s="1"/>
  <c r="BS28" i="1"/>
  <c r="AV28" i="1" s="1"/>
  <c r="BT28" i="1"/>
  <c r="AW28" i="1" s="1"/>
  <c r="BU28" i="1"/>
  <c r="AX28" i="1" s="1"/>
  <c r="BO29" i="1"/>
  <c r="BP29" i="1"/>
  <c r="BQ29" i="1"/>
  <c r="BS29" i="1"/>
  <c r="BT29" i="1"/>
  <c r="BU29" i="1"/>
  <c r="BO30" i="1"/>
  <c r="BP30" i="1"/>
  <c r="AS30" i="1" s="1"/>
  <c r="BQ30" i="1"/>
  <c r="AT30" i="1" s="1"/>
  <c r="BR30" i="1"/>
  <c r="AU30" i="1" s="1"/>
  <c r="BT30" i="1"/>
  <c r="AW30" i="1" s="1"/>
  <c r="BU30" i="1"/>
  <c r="AX30" i="1" s="1"/>
  <c r="BO31" i="1"/>
  <c r="BP31" i="1"/>
  <c r="BQ31" i="1"/>
  <c r="BR31" i="1"/>
  <c r="BS31" i="1"/>
  <c r="BU31" i="1"/>
  <c r="BO32" i="1"/>
  <c r="BP32" i="1"/>
  <c r="AS32" i="1" s="1"/>
  <c r="BQ32" i="1"/>
  <c r="AT32" i="1" s="1"/>
  <c r="BR32" i="1"/>
  <c r="AU32" i="1" s="1"/>
  <c r="BS32" i="1"/>
  <c r="AV32" i="1" s="1"/>
  <c r="BT32" i="1"/>
  <c r="AW32" i="1" s="1"/>
  <c r="BO34" i="1"/>
  <c r="BQ34" i="1"/>
  <c r="BR34" i="1"/>
  <c r="BS34" i="1"/>
  <c r="BT34" i="1"/>
  <c r="BU34" i="1"/>
  <c r="BO35" i="1"/>
  <c r="BP35" i="1"/>
  <c r="AS35" i="1" s="1"/>
  <c r="BR35" i="1"/>
  <c r="AU35" i="1" s="1"/>
  <c r="BS35" i="1"/>
  <c r="AV35" i="1" s="1"/>
  <c r="BT35" i="1"/>
  <c r="AW35" i="1" s="1"/>
  <c r="BU35" i="1"/>
  <c r="AX35" i="1" s="1"/>
  <c r="BO36" i="1"/>
  <c r="BP36" i="1"/>
  <c r="BQ36" i="1"/>
  <c r="BS36" i="1"/>
  <c r="BT36" i="1"/>
  <c r="BU36" i="1"/>
  <c r="BO37" i="1"/>
  <c r="BP37" i="1"/>
  <c r="AS37" i="1" s="1"/>
  <c r="BQ37" i="1"/>
  <c r="AT37" i="1" s="1"/>
  <c r="BR37" i="1"/>
  <c r="AU37" i="1" s="1"/>
  <c r="BT37" i="1"/>
  <c r="AW37" i="1" s="1"/>
  <c r="BU37" i="1"/>
  <c r="AX37" i="1" s="1"/>
  <c r="BO38" i="1"/>
  <c r="BP38" i="1"/>
  <c r="BQ38" i="1"/>
  <c r="BR38" i="1"/>
  <c r="BS38" i="1"/>
  <c r="BU38" i="1"/>
  <c r="BO39" i="1"/>
  <c r="BP39" i="1"/>
  <c r="AS39" i="1" s="1"/>
  <c r="BQ39" i="1"/>
  <c r="AT39" i="1" s="1"/>
  <c r="BR39" i="1"/>
  <c r="AU39" i="1" s="1"/>
  <c r="BS39" i="1"/>
  <c r="AV39" i="1" s="1"/>
  <c r="BT39" i="1"/>
  <c r="AW39" i="1" s="1"/>
  <c r="BY9" i="1"/>
  <c r="BX8" i="1"/>
  <c r="BX9" i="1"/>
  <c r="BX10" i="1"/>
  <c r="BY10" i="1"/>
  <c r="CA11" i="1"/>
  <c r="BZ10" i="1"/>
  <c r="BZ11" i="1"/>
  <c r="BY11" i="1"/>
  <c r="BX11" i="1"/>
  <c r="BW11" i="1"/>
  <c r="BW10" i="1"/>
  <c r="BW9" i="1"/>
  <c r="BW8" i="1"/>
  <c r="BW7" i="1"/>
  <c r="CB10" i="1"/>
  <c r="CB9" i="1"/>
  <c r="CA9" i="1"/>
  <c r="CB8" i="1"/>
  <c r="CA8" i="1"/>
  <c r="BZ8" i="1"/>
  <c r="CB7" i="1"/>
  <c r="CA7" i="1"/>
  <c r="BZ7" i="1"/>
  <c r="BY7" i="1"/>
  <c r="BY6" i="1"/>
  <c r="BZ6" i="1"/>
  <c r="CA6" i="1"/>
  <c r="CB6" i="1"/>
  <c r="BX6" i="1"/>
  <c r="BT11" i="1"/>
  <c r="BS11" i="1"/>
  <c r="AV11" i="1" s="1"/>
  <c r="BS10" i="1"/>
  <c r="AV10" i="1" s="1"/>
  <c r="BR11" i="1"/>
  <c r="BR10" i="1"/>
  <c r="AU10" i="1" s="1"/>
  <c r="BR9" i="1"/>
  <c r="BQ11" i="1"/>
  <c r="BQ10" i="1"/>
  <c r="AT10" i="1" s="1"/>
  <c r="BQ9" i="1"/>
  <c r="AT9" i="1" s="1"/>
  <c r="BQ8" i="1"/>
  <c r="AT8" i="1" s="1"/>
  <c r="BP11" i="1"/>
  <c r="AS11" i="1" s="1"/>
  <c r="BP10" i="1"/>
  <c r="AS10" i="1" s="1"/>
  <c r="BP9" i="1"/>
  <c r="AS9" i="1" s="1"/>
  <c r="BP8" i="1"/>
  <c r="AS8" i="1" s="1"/>
  <c r="BU10" i="1"/>
  <c r="BU9" i="1"/>
  <c r="BT9" i="1"/>
  <c r="BU8" i="1"/>
  <c r="BT8" i="1"/>
  <c r="BS8" i="1"/>
  <c r="BU7" i="1"/>
  <c r="BT7" i="1"/>
  <c r="BS7" i="1"/>
  <c r="BR7" i="1"/>
  <c r="BS6" i="1"/>
  <c r="AV6" i="1" s="1"/>
  <c r="BT6" i="1"/>
  <c r="AW6" i="1" s="1"/>
  <c r="BU6" i="1"/>
  <c r="AX6" i="1" s="1"/>
  <c r="BQ6" i="1"/>
  <c r="BR6" i="1"/>
  <c r="BO7" i="1"/>
  <c r="BO8" i="1"/>
  <c r="BO9" i="1"/>
  <c r="BO10" i="1"/>
  <c r="BO11" i="1"/>
  <c r="BO6" i="1"/>
  <c r="AD6" i="1"/>
  <c r="CF36" i="2" l="1"/>
  <c r="CC31" i="2"/>
  <c r="BW38" i="2"/>
  <c r="CF38" i="2" s="1"/>
  <c r="CC22" i="2"/>
  <c r="CL21" i="2"/>
  <c r="CO19" i="2"/>
  <c r="CO39" i="2"/>
  <c r="CC21" i="2"/>
  <c r="CC19" i="2"/>
  <c r="CO20" i="2"/>
  <c r="CL22" i="2"/>
  <c r="CC39" i="2"/>
  <c r="CC20" i="2"/>
  <c r="CL20" i="2"/>
  <c r="CL19" i="2"/>
  <c r="BY40" i="2"/>
  <c r="CH40" i="2" s="1"/>
  <c r="BY38" i="2"/>
  <c r="BY37" i="2"/>
  <c r="AZ7" i="1"/>
  <c r="AS7" i="1"/>
  <c r="CL26" i="2"/>
  <c r="CF34" i="2"/>
  <c r="CC34" i="2"/>
  <c r="CC25" i="2"/>
  <c r="CF32" i="2"/>
  <c r="CC32" i="2"/>
  <c r="CF33" i="2"/>
  <c r="CC33" i="2"/>
  <c r="CG40" i="2"/>
  <c r="CO13" i="2"/>
  <c r="CO14" i="2"/>
  <c r="CL16" i="2"/>
  <c r="CL15" i="2"/>
  <c r="CR15" i="2" s="1"/>
  <c r="DN15" i="2" s="1"/>
  <c r="CC13" i="2"/>
  <c r="CC14" i="2"/>
  <c r="CL13" i="2"/>
  <c r="CL14" i="2"/>
  <c r="CO16" i="2"/>
  <c r="CC16" i="2"/>
  <c r="CC26" i="2"/>
  <c r="CL25" i="2"/>
  <c r="CO25" i="2"/>
  <c r="CO26" i="2"/>
  <c r="CO28" i="2"/>
  <c r="CL28" i="2"/>
  <c r="CO27" i="2"/>
  <c r="CC28" i="2"/>
  <c r="CC27" i="2"/>
  <c r="CR27" i="2" s="1"/>
  <c r="DN27" i="2" s="1"/>
  <c r="CN10" i="2"/>
  <c r="CN8" i="2"/>
  <c r="CN9" i="2"/>
  <c r="CE9" i="2"/>
  <c r="CB9" i="2"/>
  <c r="CE7" i="2"/>
  <c r="CN7" i="2" s="1"/>
  <c r="CK9" i="2"/>
  <c r="BY6" i="2"/>
  <c r="BY7" i="2" s="1"/>
  <c r="BZ6" i="2"/>
  <c r="BZ7" i="2" s="1"/>
  <c r="CE10" i="2"/>
  <c r="CB10" i="2"/>
  <c r="CK10" i="2"/>
  <c r="BX6" i="2"/>
  <c r="BX7" i="2" s="1"/>
  <c r="CG7" i="2" s="1"/>
  <c r="CE8" i="2"/>
  <c r="CB8" i="2"/>
  <c r="CK8" i="2"/>
  <c r="BW6" i="2"/>
  <c r="BW9" i="2" s="1"/>
  <c r="CB7" i="2"/>
  <c r="CK7" i="2"/>
  <c r="AS25" i="1"/>
  <c r="AV38" i="1"/>
  <c r="AT38" i="1"/>
  <c r="AW36" i="1"/>
  <c r="AT36" i="1"/>
  <c r="AW34" i="1"/>
  <c r="AU34" i="1"/>
  <c r="AV31" i="1"/>
  <c r="AT31" i="1"/>
  <c r="AW29" i="1"/>
  <c r="AT29" i="1"/>
  <c r="AW27" i="1"/>
  <c r="AU27" i="1"/>
  <c r="AV24" i="1"/>
  <c r="AT24" i="1"/>
  <c r="AW22" i="1"/>
  <c r="AT22" i="1"/>
  <c r="AW20" i="1"/>
  <c r="AU20" i="1"/>
  <c r="AV17" i="1"/>
  <c r="AT17" i="1"/>
  <c r="AW15" i="1"/>
  <c r="AT15" i="1"/>
  <c r="AW13" i="1"/>
  <c r="AU13" i="1"/>
  <c r="BE38" i="1"/>
  <c r="BB38" i="1"/>
  <c r="AZ38" i="1"/>
  <c r="BE36" i="1"/>
  <c r="BC36" i="1"/>
  <c r="AZ36" i="1"/>
  <c r="BE34" i="1"/>
  <c r="BC34" i="1"/>
  <c r="BA34" i="1"/>
  <c r="BE31" i="1"/>
  <c r="BB31" i="1"/>
  <c r="AZ31" i="1"/>
  <c r="BE29" i="1"/>
  <c r="BC29" i="1"/>
  <c r="AZ29" i="1"/>
  <c r="BE27" i="1"/>
  <c r="BC27" i="1"/>
  <c r="BA27" i="1"/>
  <c r="BE24" i="1"/>
  <c r="BB24" i="1"/>
  <c r="AZ24" i="1"/>
  <c r="BE22" i="1"/>
  <c r="BC22" i="1"/>
  <c r="AZ22" i="1"/>
  <c r="BE20" i="1"/>
  <c r="BC20" i="1"/>
  <c r="BA20" i="1"/>
  <c r="BE17" i="1"/>
  <c r="BB17" i="1"/>
  <c r="AZ17" i="1"/>
  <c r="BE15" i="1"/>
  <c r="BC15" i="1"/>
  <c r="AZ15" i="1"/>
  <c r="BE13" i="1"/>
  <c r="BC13" i="1"/>
  <c r="BA13" i="1"/>
  <c r="AV7" i="1"/>
  <c r="AX7" i="1"/>
  <c r="AW8" i="1"/>
  <c r="AW9" i="1"/>
  <c r="AX10" i="1"/>
  <c r="AT11" i="1"/>
  <c r="AW11" i="1"/>
  <c r="BB7" i="1"/>
  <c r="BD7" i="1"/>
  <c r="BC8" i="1"/>
  <c r="BE8" i="1"/>
  <c r="BE9" i="1"/>
  <c r="BB9" i="1"/>
  <c r="AU6" i="1"/>
  <c r="BE6" i="1"/>
  <c r="BC6" i="1"/>
  <c r="AZ9" i="1"/>
  <c r="AZ11" i="1"/>
  <c r="BC10" i="1"/>
  <c r="BA9" i="1"/>
  <c r="BC39" i="1"/>
  <c r="BA39" i="1"/>
  <c r="BD37" i="1"/>
  <c r="BA37" i="1"/>
  <c r="BD35" i="1"/>
  <c r="BB35" i="1"/>
  <c r="BC32" i="1"/>
  <c r="BA32" i="1"/>
  <c r="BD30" i="1"/>
  <c r="BA30" i="1"/>
  <c r="BD28" i="1"/>
  <c r="BB28" i="1"/>
  <c r="BC25" i="1"/>
  <c r="BA25" i="1"/>
  <c r="BD23" i="1"/>
  <c r="BA23" i="1"/>
  <c r="BD21" i="1"/>
  <c r="BB21" i="1"/>
  <c r="BC18" i="1"/>
  <c r="BA18" i="1"/>
  <c r="BD16" i="1"/>
  <c r="BA16" i="1"/>
  <c r="BD14" i="1"/>
  <c r="BB14" i="1"/>
  <c r="AT6" i="1"/>
  <c r="AU7" i="1"/>
  <c r="AW7" i="1"/>
  <c r="AV8" i="1"/>
  <c r="AX8" i="1"/>
  <c r="AX9" i="1"/>
  <c r="AU9" i="1"/>
  <c r="BA6" i="1"/>
  <c r="BD6" i="1"/>
  <c r="BB6" i="1"/>
  <c r="BC7" i="1"/>
  <c r="BE7" i="1"/>
  <c r="BD8" i="1"/>
  <c r="BD9" i="1"/>
  <c r="BE10" i="1"/>
  <c r="AZ8" i="1"/>
  <c r="AZ10" i="1"/>
  <c r="BA11" i="1"/>
  <c r="BC11" i="1"/>
  <c r="BD11" i="1"/>
  <c r="BA10" i="1"/>
  <c r="BA8" i="1"/>
  <c r="AX38" i="1"/>
  <c r="AU38" i="1"/>
  <c r="AS38" i="1"/>
  <c r="AX36" i="1"/>
  <c r="AV36" i="1"/>
  <c r="AS36" i="1"/>
  <c r="AX34" i="1"/>
  <c r="AV34" i="1"/>
  <c r="AT34" i="1"/>
  <c r="AX31" i="1"/>
  <c r="AU31" i="1"/>
  <c r="AS31" i="1"/>
  <c r="AX29" i="1"/>
  <c r="AV29" i="1"/>
  <c r="AS29" i="1"/>
  <c r="AX27" i="1"/>
  <c r="AV27" i="1"/>
  <c r="AT27" i="1"/>
  <c r="AX24" i="1"/>
  <c r="AU24" i="1"/>
  <c r="AS24" i="1"/>
  <c r="AX22" i="1"/>
  <c r="AV22" i="1"/>
  <c r="AS22" i="1"/>
  <c r="AX20" i="1"/>
  <c r="AV20" i="1"/>
  <c r="AT20" i="1"/>
  <c r="AX17" i="1"/>
  <c r="AU17" i="1"/>
  <c r="AS17" i="1"/>
  <c r="AX15" i="1"/>
  <c r="AV15" i="1"/>
  <c r="AS15" i="1"/>
  <c r="AX13" i="1"/>
  <c r="AV13" i="1"/>
  <c r="AT13" i="1"/>
  <c r="BD39" i="1"/>
  <c r="BB39" i="1"/>
  <c r="AZ39" i="1"/>
  <c r="BC38" i="1"/>
  <c r="BA38" i="1"/>
  <c r="BE37" i="1"/>
  <c r="BB37" i="1"/>
  <c r="AZ37" i="1"/>
  <c r="BD36" i="1"/>
  <c r="BA36" i="1"/>
  <c r="BE35" i="1"/>
  <c r="BC35" i="1"/>
  <c r="AZ35" i="1"/>
  <c r="BD34" i="1"/>
  <c r="BB34" i="1"/>
  <c r="BD32" i="1"/>
  <c r="BB32" i="1"/>
  <c r="AZ32" i="1"/>
  <c r="BC31" i="1"/>
  <c r="BA31" i="1"/>
  <c r="BE30" i="1"/>
  <c r="BB30" i="1"/>
  <c r="AZ30" i="1"/>
  <c r="BD29" i="1"/>
  <c r="BA29" i="1"/>
  <c r="BE28" i="1"/>
  <c r="BC28" i="1"/>
  <c r="AZ28" i="1"/>
  <c r="BD27" i="1"/>
  <c r="BB27" i="1"/>
  <c r="BD25" i="1"/>
  <c r="BB25" i="1"/>
  <c r="AZ25" i="1"/>
  <c r="BC24" i="1"/>
  <c r="BA24" i="1"/>
  <c r="BE23" i="1"/>
  <c r="BB23" i="1"/>
  <c r="AZ23" i="1"/>
  <c r="BD22" i="1"/>
  <c r="BA22" i="1"/>
  <c r="BE21" i="1"/>
  <c r="BC21" i="1"/>
  <c r="AZ21" i="1"/>
  <c r="BD20" i="1"/>
  <c r="BB20" i="1"/>
  <c r="BD18" i="1"/>
  <c r="BB18" i="1"/>
  <c r="AZ18" i="1"/>
  <c r="BC17" i="1"/>
  <c r="BA17" i="1"/>
  <c r="BE16" i="1"/>
  <c r="BB16" i="1"/>
  <c r="AZ16" i="1"/>
  <c r="BD15" i="1"/>
  <c r="BA15" i="1"/>
  <c r="BE14" i="1"/>
  <c r="BC14" i="1"/>
  <c r="AZ14" i="1"/>
  <c r="BD13" i="1"/>
  <c r="BB13" i="1"/>
  <c r="AU11" i="1"/>
  <c r="BB10" i="1"/>
  <c r="BB11" i="1"/>
  <c r="CE8" i="1"/>
  <c r="CJ8" i="1"/>
  <c r="CJ9" i="1"/>
  <c r="CH9" i="1"/>
  <c r="CG9" i="1"/>
  <c r="CI9" i="1"/>
  <c r="CE9" i="1"/>
  <c r="CF9" i="1"/>
  <c r="CF8" i="1"/>
  <c r="CH8" i="1"/>
  <c r="CJ36" i="1"/>
  <c r="CF36" i="1"/>
  <c r="CJ29" i="1"/>
  <c r="CF29" i="1"/>
  <c r="CJ22" i="1"/>
  <c r="CF22" i="1"/>
  <c r="CJ15" i="1"/>
  <c r="CF15" i="1"/>
  <c r="CJ37" i="1"/>
  <c r="CH37" i="1"/>
  <c r="CF37" i="1"/>
  <c r="CJ23" i="1"/>
  <c r="CH23" i="1"/>
  <c r="CF23" i="1"/>
  <c r="CG8" i="1"/>
  <c r="CI8" i="1"/>
  <c r="CH36" i="1"/>
  <c r="CH29" i="1"/>
  <c r="CH22" i="1"/>
  <c r="CH15" i="1"/>
  <c r="CJ30" i="1"/>
  <c r="CH30" i="1"/>
  <c r="CF30" i="1"/>
  <c r="CJ16" i="1"/>
  <c r="CH16" i="1"/>
  <c r="CF16" i="1"/>
  <c r="CI36" i="1"/>
  <c r="CG36" i="1"/>
  <c r="CE36" i="1"/>
  <c r="CI29" i="1"/>
  <c r="CG29" i="1"/>
  <c r="CE29" i="1"/>
  <c r="CI22" i="1"/>
  <c r="CG22" i="1"/>
  <c r="CE22" i="1"/>
  <c r="CI15" i="1"/>
  <c r="CG15" i="1"/>
  <c r="CE15" i="1"/>
  <c r="CE37" i="1"/>
  <c r="CI37" i="1"/>
  <c r="CG37" i="1"/>
  <c r="CE30" i="1"/>
  <c r="CI30" i="1"/>
  <c r="CG30" i="1"/>
  <c r="CE23" i="1"/>
  <c r="CI23" i="1"/>
  <c r="CG23" i="1"/>
  <c r="CE16" i="1"/>
  <c r="CI16" i="1"/>
  <c r="CG16" i="1"/>
  <c r="CR21" i="2" l="1"/>
  <c r="DN21" i="2" s="1"/>
  <c r="CR26" i="2"/>
  <c r="DN26" i="2" s="1"/>
  <c r="CR13" i="2"/>
  <c r="DN13" i="2" s="1"/>
  <c r="CR25" i="2"/>
  <c r="DN25" i="2" s="1"/>
  <c r="CR22" i="2"/>
  <c r="DN22" i="2" s="1"/>
  <c r="CR28" i="2"/>
  <c r="DN28" i="2" s="1"/>
  <c r="CR16" i="2"/>
  <c r="DN16" i="2" s="1"/>
  <c r="CR14" i="2"/>
  <c r="DN14" i="2" s="1"/>
  <c r="CR20" i="2"/>
  <c r="DN20" i="2" s="1"/>
  <c r="CR19" i="2"/>
  <c r="DN19" i="2" s="1"/>
  <c r="CC40" i="2"/>
  <c r="CH37" i="2"/>
  <c r="CC37" i="2"/>
  <c r="CH38" i="2"/>
  <c r="CO38" i="2" s="1"/>
  <c r="CC38" i="2"/>
  <c r="BH9" i="1"/>
  <c r="CO40" i="2"/>
  <c r="CL40" i="2"/>
  <c r="CO34" i="2"/>
  <c r="CL34" i="2"/>
  <c r="CO33" i="2"/>
  <c r="CL33" i="2"/>
  <c r="CL32" i="2"/>
  <c r="CO32" i="2"/>
  <c r="CL31" i="2"/>
  <c r="CR31" i="2" s="1"/>
  <c r="DN31" i="2" s="1"/>
  <c r="BX9" i="2"/>
  <c r="CG9" i="2" s="1"/>
  <c r="BX10" i="2"/>
  <c r="BZ8" i="2"/>
  <c r="BW10" i="2"/>
  <c r="BW8" i="2"/>
  <c r="BZ9" i="2"/>
  <c r="CI9" i="2" s="1"/>
  <c r="BY10" i="2"/>
  <c r="BY8" i="2"/>
  <c r="CF9" i="2"/>
  <c r="CG6" i="2"/>
  <c r="CI6" i="2"/>
  <c r="CH6" i="2"/>
  <c r="CF6" i="2"/>
  <c r="CH24" i="1"/>
  <c r="BM16" i="1"/>
  <c r="BK23" i="1"/>
  <c r="BI23" i="1"/>
  <c r="BM30" i="1"/>
  <c r="BK37" i="1"/>
  <c r="BI37" i="1"/>
  <c r="BK9" i="1"/>
  <c r="BK16" i="1"/>
  <c r="BI16" i="1"/>
  <c r="BM23" i="1"/>
  <c r="BK30" i="1"/>
  <c r="BI30" i="1"/>
  <c r="BM37" i="1"/>
  <c r="BL9" i="1"/>
  <c r="CG10" i="1"/>
  <c r="CE10" i="1"/>
  <c r="BH16" i="1"/>
  <c r="BJ16" i="1"/>
  <c r="BL16" i="1"/>
  <c r="BH23" i="1"/>
  <c r="BJ23" i="1"/>
  <c r="BL23" i="1"/>
  <c r="BH30" i="1"/>
  <c r="BJ30" i="1"/>
  <c r="BL30" i="1"/>
  <c r="BH37" i="1"/>
  <c r="BJ37" i="1"/>
  <c r="BL37" i="1"/>
  <c r="BM9" i="1"/>
  <c r="BI9" i="1"/>
  <c r="BJ9" i="1"/>
  <c r="CE24" i="1"/>
  <c r="CE38" i="1"/>
  <c r="CH17" i="1"/>
  <c r="CF31" i="1"/>
  <c r="CF38" i="1"/>
  <c r="CG17" i="1"/>
  <c r="CI24" i="1"/>
  <c r="CG31" i="1"/>
  <c r="CI38" i="1"/>
  <c r="CH31" i="1"/>
  <c r="CF17" i="1"/>
  <c r="CF24" i="1"/>
  <c r="CE17" i="1"/>
  <c r="CI17" i="1"/>
  <c r="CG24" i="1"/>
  <c r="CE31" i="1"/>
  <c r="CI31" i="1"/>
  <c r="CG38" i="1"/>
  <c r="CH38" i="1"/>
  <c r="CJ17" i="1"/>
  <c r="CJ24" i="1"/>
  <c r="CJ31" i="1"/>
  <c r="CJ38" i="1"/>
  <c r="CL38" i="2" l="1"/>
  <c r="CR33" i="2"/>
  <c r="DN33" i="2" s="1"/>
  <c r="CR34" i="2"/>
  <c r="DN34" i="2" s="1"/>
  <c r="CR32" i="2"/>
  <c r="DN32" i="2" s="1"/>
  <c r="CS19" i="2"/>
  <c r="CS27" i="2"/>
  <c r="CR38" i="2"/>
  <c r="DN38" i="2" s="1"/>
  <c r="CZ19" i="2"/>
  <c r="DO19" i="2" s="1"/>
  <c r="CZ20" i="2"/>
  <c r="DO20" i="2" s="1"/>
  <c r="CS20" i="2"/>
  <c r="CZ13" i="2"/>
  <c r="DO13" i="2" s="1"/>
  <c r="CZ14" i="2"/>
  <c r="DO14" i="2" s="1"/>
  <c r="CS14" i="2"/>
  <c r="CS28" i="2"/>
  <c r="CZ28" i="2"/>
  <c r="DO28" i="2" s="1"/>
  <c r="CZ21" i="2"/>
  <c r="DO21" i="2" s="1"/>
  <c r="CS13" i="2"/>
  <c r="CZ26" i="2"/>
  <c r="DO26" i="2" s="1"/>
  <c r="CZ15" i="2"/>
  <c r="DO15" i="2" s="1"/>
  <c r="CR40" i="2"/>
  <c r="DN40" i="2" s="1"/>
  <c r="CS16" i="2"/>
  <c r="CZ16" i="2"/>
  <c r="DO16" i="2" s="1"/>
  <c r="CS22" i="2"/>
  <c r="CZ22" i="2"/>
  <c r="DO22" i="2" s="1"/>
  <c r="CS21" i="2"/>
  <c r="CS25" i="2"/>
  <c r="CS26" i="2"/>
  <c r="CZ25" i="2"/>
  <c r="DO25" i="2" s="1"/>
  <c r="CZ27" i="2"/>
  <c r="DO27" i="2" s="1"/>
  <c r="CS15" i="2"/>
  <c r="CL39" i="2"/>
  <c r="CR39" i="2" s="1"/>
  <c r="DN39" i="2" s="1"/>
  <c r="CL37" i="2"/>
  <c r="CO37" i="2"/>
  <c r="CC9" i="2"/>
  <c r="CO9" i="2"/>
  <c r="CC7" i="2"/>
  <c r="CH7" i="2"/>
  <c r="CI8" i="2"/>
  <c r="CF10" i="2"/>
  <c r="CH8" i="2"/>
  <c r="CG10" i="2"/>
  <c r="CI7" i="2"/>
  <c r="CH10" i="2"/>
  <c r="CF8" i="2"/>
  <c r="CC10" i="2"/>
  <c r="CC8" i="2"/>
  <c r="V3" i="1"/>
  <c r="CZ31" i="2" l="1"/>
  <c r="DO31" i="2" s="1"/>
  <c r="CS31" i="2"/>
  <c r="CS32" i="2"/>
  <c r="CS34" i="2"/>
  <c r="CR37" i="2"/>
  <c r="DN37" i="2" s="1"/>
  <c r="CZ32" i="2"/>
  <c r="DO32" i="2" s="1"/>
  <c r="CZ34" i="2"/>
  <c r="DO34" i="2" s="1"/>
  <c r="CZ33" i="2"/>
  <c r="DO33" i="2" s="1"/>
  <c r="CS37" i="2"/>
  <c r="DH27" i="2"/>
  <c r="DP27" i="2" s="1"/>
  <c r="DH26" i="2"/>
  <c r="DP26" i="2" s="1"/>
  <c r="DH21" i="2"/>
  <c r="DP21" i="2" s="1"/>
  <c r="DH14" i="2"/>
  <c r="DP14" i="2" s="1"/>
  <c r="DH19" i="2"/>
  <c r="DP19" i="2" s="1"/>
  <c r="CS33" i="2"/>
  <c r="DA25" i="2"/>
  <c r="DH25" i="2"/>
  <c r="DP25" i="2" s="1"/>
  <c r="DA22" i="2"/>
  <c r="DH22" i="2"/>
  <c r="DP22" i="2" s="1"/>
  <c r="DA16" i="2"/>
  <c r="DH16" i="2"/>
  <c r="DP16" i="2" s="1"/>
  <c r="DH15" i="2"/>
  <c r="DP15" i="2" s="1"/>
  <c r="DH28" i="2"/>
  <c r="DP28" i="2" s="1"/>
  <c r="DH13" i="2"/>
  <c r="DP13" i="2" s="1"/>
  <c r="DH20" i="2"/>
  <c r="DP20" i="2" s="1"/>
  <c r="CS39" i="2"/>
  <c r="CS40" i="2"/>
  <c r="CZ40" i="2"/>
  <c r="DO40" i="2" s="1"/>
  <c r="DA15" i="2"/>
  <c r="DA28" i="2"/>
  <c r="DA13" i="2"/>
  <c r="DA20" i="2"/>
  <c r="CZ37" i="2"/>
  <c r="DO37" i="2" s="1"/>
  <c r="CZ38" i="2"/>
  <c r="DO38" i="2" s="1"/>
  <c r="CS38" i="2"/>
  <c r="DA27" i="2"/>
  <c r="DA26" i="2"/>
  <c r="DA21" i="2"/>
  <c r="DA14" i="2"/>
  <c r="DA19" i="2"/>
  <c r="CL8" i="2"/>
  <c r="CO8" i="2"/>
  <c r="CL7" i="2"/>
  <c r="CO7" i="2"/>
  <c r="CL9" i="2"/>
  <c r="CR9" i="2" s="1"/>
  <c r="DN9" i="2" s="1"/>
  <c r="CL10" i="2"/>
  <c r="CO10" i="2"/>
  <c r="W3" i="1"/>
  <c r="I2" i="1" s="1"/>
  <c r="CZ39" i="2" l="1"/>
  <c r="DO39" i="2" s="1"/>
  <c r="M24" i="2"/>
  <c r="N24" i="2" s="1"/>
  <c r="M25" i="2"/>
  <c r="N25" i="2" s="1"/>
  <c r="M21" i="2"/>
  <c r="N21" i="2" s="1"/>
  <c r="DA31" i="2"/>
  <c r="DA33" i="2"/>
  <c r="DH34" i="2"/>
  <c r="DP34" i="2" s="1"/>
  <c r="M27" i="2"/>
  <c r="N27" i="2" s="1"/>
  <c r="M26" i="2"/>
  <c r="N26" i="2" s="1"/>
  <c r="AE9" i="2" s="1"/>
  <c r="DA32" i="2"/>
  <c r="DH31" i="2"/>
  <c r="DP31" i="2" s="1"/>
  <c r="M39" i="2" s="1"/>
  <c r="N39" i="2" s="1"/>
  <c r="DA34" i="2"/>
  <c r="DH33" i="2"/>
  <c r="DP33" i="2" s="1"/>
  <c r="DH32" i="2"/>
  <c r="DP32" i="2" s="1"/>
  <c r="M32" i="2"/>
  <c r="AD10" i="2" s="1"/>
  <c r="M33" i="2"/>
  <c r="N33" i="2" s="1"/>
  <c r="N32" i="2"/>
  <c r="AE10" i="2" s="1"/>
  <c r="M30" i="2"/>
  <c r="N30" i="2" s="1"/>
  <c r="CR7" i="2"/>
  <c r="DN7" i="2" s="1"/>
  <c r="M18" i="2"/>
  <c r="N18" i="2" s="1"/>
  <c r="M20" i="2"/>
  <c r="AM8" i="2" s="1"/>
  <c r="DH37" i="2"/>
  <c r="DP37" i="2" s="1"/>
  <c r="DI20" i="2"/>
  <c r="DI28" i="2"/>
  <c r="DI16" i="2"/>
  <c r="DI14" i="2"/>
  <c r="DI26" i="2"/>
  <c r="DH40" i="2"/>
  <c r="DP40" i="2" s="1"/>
  <c r="DI13" i="2"/>
  <c r="DI15" i="2"/>
  <c r="DI22" i="2"/>
  <c r="DI25" i="2"/>
  <c r="DI19" i="2"/>
  <c r="DI21" i="2"/>
  <c r="DI27" i="2"/>
  <c r="DA38" i="2"/>
  <c r="DA39" i="2"/>
  <c r="CR10" i="2"/>
  <c r="DN10" i="2" s="1"/>
  <c r="CR8" i="2"/>
  <c r="DN8" i="2" s="1"/>
  <c r="M19" i="2"/>
  <c r="P48" i="2" s="1"/>
  <c r="M31" i="2"/>
  <c r="N31" i="2" s="1"/>
  <c r="N20" i="2"/>
  <c r="AE8" i="2" s="1"/>
  <c r="V7" i="1"/>
  <c r="V8" i="1"/>
  <c r="V9" i="1"/>
  <c r="V10" i="1"/>
  <c r="V11" i="1"/>
  <c r="P47" i="1"/>
  <c r="Q47" i="1"/>
  <c r="DA40" i="2" l="1"/>
  <c r="DH38" i="2"/>
  <c r="DP38" i="2" s="1"/>
  <c r="DH39" i="2"/>
  <c r="DP39" i="2" s="1"/>
  <c r="DA37" i="2"/>
  <c r="P30" i="2"/>
  <c r="AD9" i="2"/>
  <c r="AH9" i="2" s="1"/>
  <c r="AM9" i="2"/>
  <c r="P8" i="2"/>
  <c r="P18" i="2"/>
  <c r="AI10" i="2"/>
  <c r="AH10" i="2"/>
  <c r="AI9" i="2"/>
  <c r="M45" i="2"/>
  <c r="N45" i="2" s="1"/>
  <c r="DI32" i="2"/>
  <c r="M44" i="2"/>
  <c r="N44" i="2" s="1"/>
  <c r="AE12" i="2" s="1"/>
  <c r="M38" i="2"/>
  <c r="AD11" i="2" s="1"/>
  <c r="M43" i="2"/>
  <c r="P50" i="2" s="1"/>
  <c r="M36" i="2"/>
  <c r="N36" i="2" s="1"/>
  <c r="AG10" i="2"/>
  <c r="AF10" i="2"/>
  <c r="AM10" i="2"/>
  <c r="M37" i="2"/>
  <c r="N37" i="2" s="1"/>
  <c r="DI31" i="2"/>
  <c r="DI34" i="2"/>
  <c r="DI33" i="2"/>
  <c r="P12" i="2"/>
  <c r="AD8" i="2"/>
  <c r="DI39" i="2"/>
  <c r="DI40" i="2"/>
  <c r="CZ10" i="2"/>
  <c r="DO10" i="2" s="1"/>
  <c r="CZ8" i="2"/>
  <c r="DO8" i="2" s="1"/>
  <c r="CZ7" i="2"/>
  <c r="CZ9" i="2"/>
  <c r="DO9" i="2" s="1"/>
  <c r="P38" i="2"/>
  <c r="N19" i="2"/>
  <c r="N38" i="2"/>
  <c r="AE11" i="2" s="1"/>
  <c r="M42" i="2"/>
  <c r="N42" i="2" s="1"/>
  <c r="P36" i="2"/>
  <c r="AD12" i="2"/>
  <c r="O26" i="1"/>
  <c r="D12" i="1"/>
  <c r="E12" i="1"/>
  <c r="F12" i="1"/>
  <c r="G12" i="1"/>
  <c r="H12" i="1"/>
  <c r="I12" i="1"/>
  <c r="D19" i="1"/>
  <c r="E19" i="1"/>
  <c r="F19" i="1"/>
  <c r="G19" i="1"/>
  <c r="H19" i="1"/>
  <c r="I19" i="1"/>
  <c r="D26" i="1"/>
  <c r="E26" i="1"/>
  <c r="AD26" i="1" s="1"/>
  <c r="F26" i="1"/>
  <c r="G26" i="1"/>
  <c r="H26" i="1"/>
  <c r="I26" i="1"/>
  <c r="D33" i="1"/>
  <c r="E33" i="1"/>
  <c r="F33" i="1"/>
  <c r="G33" i="1"/>
  <c r="H33" i="1"/>
  <c r="I33" i="1"/>
  <c r="M5" i="1"/>
  <c r="N5" i="1"/>
  <c r="O5" i="1"/>
  <c r="P5" i="1"/>
  <c r="Q5" i="1"/>
  <c r="R5" i="1"/>
  <c r="M12" i="1"/>
  <c r="N12" i="1"/>
  <c r="O12" i="1"/>
  <c r="P12" i="1"/>
  <c r="Q12" i="1"/>
  <c r="R12" i="1"/>
  <c r="M19" i="1"/>
  <c r="N19" i="1"/>
  <c r="O19" i="1"/>
  <c r="P19" i="1"/>
  <c r="Q19" i="1"/>
  <c r="R19" i="1"/>
  <c r="M26" i="1"/>
  <c r="N26" i="1"/>
  <c r="P26" i="1"/>
  <c r="Q26" i="1"/>
  <c r="I5" i="1"/>
  <c r="H5" i="1"/>
  <c r="G5" i="1"/>
  <c r="F5" i="1"/>
  <c r="E5" i="1"/>
  <c r="D5" i="1"/>
  <c r="U27" i="1"/>
  <c r="W27" i="1"/>
  <c r="X27" i="1"/>
  <c r="Y27" i="1"/>
  <c r="Z27" i="1"/>
  <c r="AA27" i="1"/>
  <c r="U28" i="1"/>
  <c r="V28" i="1"/>
  <c r="X28" i="1"/>
  <c r="Y28" i="1"/>
  <c r="Z28" i="1"/>
  <c r="AA28" i="1"/>
  <c r="AD27" i="1"/>
  <c r="AE27" i="1"/>
  <c r="AF27" i="1"/>
  <c r="AG27" i="1"/>
  <c r="AH27" i="1"/>
  <c r="U29" i="1"/>
  <c r="V29" i="1"/>
  <c r="W29" i="1"/>
  <c r="Y29" i="1"/>
  <c r="Z29" i="1"/>
  <c r="AA29" i="1"/>
  <c r="AC28" i="1"/>
  <c r="AE28" i="1"/>
  <c r="AF28" i="1"/>
  <c r="AG28" i="1"/>
  <c r="AH28" i="1"/>
  <c r="U30" i="1"/>
  <c r="V30" i="1"/>
  <c r="W30" i="1"/>
  <c r="X30" i="1"/>
  <c r="Z30" i="1"/>
  <c r="AA30" i="1"/>
  <c r="AC29" i="1"/>
  <c r="AD29" i="1"/>
  <c r="AF29" i="1"/>
  <c r="AG29" i="1"/>
  <c r="AH29" i="1"/>
  <c r="U31" i="1"/>
  <c r="V31" i="1"/>
  <c r="W31" i="1"/>
  <c r="X31" i="1"/>
  <c r="Y31" i="1"/>
  <c r="AA31" i="1"/>
  <c r="AC30" i="1"/>
  <c r="AD30" i="1"/>
  <c r="AE30" i="1"/>
  <c r="AG30" i="1"/>
  <c r="AH30" i="1"/>
  <c r="U32" i="1"/>
  <c r="V32" i="1"/>
  <c r="W32" i="1"/>
  <c r="X32" i="1"/>
  <c r="Y32" i="1"/>
  <c r="Z32" i="1"/>
  <c r="AC31" i="1"/>
  <c r="AD31" i="1"/>
  <c r="AE31" i="1"/>
  <c r="AF31" i="1"/>
  <c r="AH31" i="1"/>
  <c r="AC32" i="1"/>
  <c r="AD32" i="1"/>
  <c r="AE32" i="1"/>
  <c r="AF32" i="1"/>
  <c r="AG32" i="1"/>
  <c r="U34" i="1"/>
  <c r="W34" i="1"/>
  <c r="X34" i="1"/>
  <c r="Y34" i="1"/>
  <c r="Z34" i="1"/>
  <c r="AA34" i="1"/>
  <c r="U35" i="1"/>
  <c r="V35" i="1"/>
  <c r="X35" i="1"/>
  <c r="Y35" i="1"/>
  <c r="Z35" i="1"/>
  <c r="AA35" i="1"/>
  <c r="AD34" i="1"/>
  <c r="AE34" i="1"/>
  <c r="AF34" i="1"/>
  <c r="AG34" i="1"/>
  <c r="AH34" i="1"/>
  <c r="U36" i="1"/>
  <c r="V36" i="1"/>
  <c r="W36" i="1"/>
  <c r="Y36" i="1"/>
  <c r="Z36" i="1"/>
  <c r="AA36" i="1"/>
  <c r="AC35" i="1"/>
  <c r="AE35" i="1"/>
  <c r="AF35" i="1"/>
  <c r="AG35" i="1"/>
  <c r="AH35" i="1"/>
  <c r="U37" i="1"/>
  <c r="V37" i="1"/>
  <c r="W37" i="1"/>
  <c r="X37" i="1"/>
  <c r="Z37" i="1"/>
  <c r="AA37" i="1"/>
  <c r="AC36" i="1"/>
  <c r="AD36" i="1"/>
  <c r="AF36" i="1"/>
  <c r="AG36" i="1"/>
  <c r="AH36" i="1"/>
  <c r="U38" i="1"/>
  <c r="V38" i="1"/>
  <c r="W38" i="1"/>
  <c r="X38" i="1"/>
  <c r="Y38" i="1"/>
  <c r="AA38" i="1"/>
  <c r="AC37" i="1"/>
  <c r="AD37" i="1"/>
  <c r="AE37" i="1"/>
  <c r="AG37" i="1"/>
  <c r="AH37" i="1"/>
  <c r="U39" i="1"/>
  <c r="V39" i="1"/>
  <c r="W39" i="1"/>
  <c r="X39" i="1"/>
  <c r="Y39" i="1"/>
  <c r="Z39" i="1"/>
  <c r="AC38" i="1"/>
  <c r="AD38" i="1"/>
  <c r="AE38" i="1"/>
  <c r="AF38" i="1"/>
  <c r="AH38" i="1"/>
  <c r="AC39" i="1"/>
  <c r="AD39" i="1"/>
  <c r="AE39" i="1"/>
  <c r="AF39" i="1"/>
  <c r="AG39" i="1"/>
  <c r="U6" i="1"/>
  <c r="W6" i="1"/>
  <c r="X6" i="1"/>
  <c r="Y6" i="1"/>
  <c r="Z6" i="1"/>
  <c r="AA6" i="1"/>
  <c r="U7" i="1"/>
  <c r="X7" i="1"/>
  <c r="Y7" i="1"/>
  <c r="Z7" i="1"/>
  <c r="AA7" i="1"/>
  <c r="AE6" i="1"/>
  <c r="AF6" i="1"/>
  <c r="AG6" i="1"/>
  <c r="AH6" i="1"/>
  <c r="U8" i="1"/>
  <c r="Y8" i="1"/>
  <c r="Z8" i="1"/>
  <c r="AA8" i="1"/>
  <c r="AC7" i="1"/>
  <c r="AE7" i="1"/>
  <c r="AF7" i="1"/>
  <c r="AG7" i="1"/>
  <c r="AH7" i="1"/>
  <c r="U9" i="1"/>
  <c r="W9" i="1"/>
  <c r="X9" i="1"/>
  <c r="Z9" i="1"/>
  <c r="AA9" i="1"/>
  <c r="AC8" i="1"/>
  <c r="AD8" i="1"/>
  <c r="CF10" i="1" s="1"/>
  <c r="AF8" i="1"/>
  <c r="AG8" i="1"/>
  <c r="AH8" i="1"/>
  <c r="U10" i="1"/>
  <c r="W10" i="1"/>
  <c r="X10" i="1"/>
  <c r="Y10" i="1"/>
  <c r="AA10" i="1"/>
  <c r="AC9" i="1"/>
  <c r="AD9" i="1"/>
  <c r="AE9" i="1"/>
  <c r="AG9" i="1"/>
  <c r="AH9" i="1"/>
  <c r="U11" i="1"/>
  <c r="W11" i="1"/>
  <c r="CJ10" i="1" s="1"/>
  <c r="X11" i="1"/>
  <c r="Y11" i="1"/>
  <c r="Z11" i="1"/>
  <c r="AC10" i="1"/>
  <c r="AD10" i="1"/>
  <c r="AE10" i="1"/>
  <c r="AF10" i="1"/>
  <c r="AH10" i="1"/>
  <c r="AC11" i="1"/>
  <c r="AD11" i="1"/>
  <c r="AE11" i="1"/>
  <c r="AF11" i="1"/>
  <c r="AG11" i="1"/>
  <c r="U13" i="1"/>
  <c r="W13" i="1"/>
  <c r="X13" i="1"/>
  <c r="Y13" i="1"/>
  <c r="Z13" i="1"/>
  <c r="AA13" i="1"/>
  <c r="U14" i="1"/>
  <c r="V14" i="1"/>
  <c r="X14" i="1"/>
  <c r="Y14" i="1"/>
  <c r="Z14" i="1"/>
  <c r="AA14" i="1"/>
  <c r="AD13" i="1"/>
  <c r="AE13" i="1"/>
  <c r="AF13" i="1"/>
  <c r="AG13" i="1"/>
  <c r="AH13" i="1"/>
  <c r="U15" i="1"/>
  <c r="V15" i="1"/>
  <c r="W15" i="1"/>
  <c r="Y15" i="1"/>
  <c r="Z15" i="1"/>
  <c r="AA15" i="1"/>
  <c r="AC14" i="1"/>
  <c r="AE14" i="1"/>
  <c r="AF14" i="1"/>
  <c r="AG14" i="1"/>
  <c r="AH14" i="1"/>
  <c r="U16" i="1"/>
  <c r="V16" i="1"/>
  <c r="W16" i="1"/>
  <c r="X16" i="1"/>
  <c r="Z16" i="1"/>
  <c r="AA16" i="1"/>
  <c r="AC15" i="1"/>
  <c r="AD15" i="1"/>
  <c r="AF15" i="1"/>
  <c r="AG15" i="1"/>
  <c r="AH15" i="1"/>
  <c r="U17" i="1"/>
  <c r="V17" i="1"/>
  <c r="W17" i="1"/>
  <c r="X17" i="1"/>
  <c r="Y17" i="1"/>
  <c r="AA17" i="1"/>
  <c r="AC16" i="1"/>
  <c r="AD16" i="1"/>
  <c r="AE16" i="1"/>
  <c r="AG16" i="1"/>
  <c r="AH16" i="1"/>
  <c r="U18" i="1"/>
  <c r="V18" i="1"/>
  <c r="W18" i="1"/>
  <c r="X18" i="1"/>
  <c r="Y18" i="1"/>
  <c r="Z18" i="1"/>
  <c r="AC17" i="1"/>
  <c r="AD17" i="1"/>
  <c r="AE17" i="1"/>
  <c r="AF17" i="1"/>
  <c r="AH17" i="1"/>
  <c r="AC18" i="1"/>
  <c r="AD18" i="1"/>
  <c r="AE18" i="1"/>
  <c r="AF18" i="1"/>
  <c r="AG18" i="1"/>
  <c r="AC22" i="1"/>
  <c r="AD22" i="1"/>
  <c r="AF22" i="1"/>
  <c r="AG22" i="1"/>
  <c r="AH22" i="1"/>
  <c r="AC23" i="1"/>
  <c r="AD23" i="1"/>
  <c r="AE23" i="1"/>
  <c r="AG23" i="1"/>
  <c r="AH23" i="1"/>
  <c r="AC24" i="1"/>
  <c r="AD24" i="1"/>
  <c r="AE24" i="1"/>
  <c r="AF24" i="1"/>
  <c r="AH24" i="1"/>
  <c r="AC25" i="1"/>
  <c r="AD25" i="1"/>
  <c r="AE25" i="1"/>
  <c r="AF25" i="1"/>
  <c r="AG25" i="1"/>
  <c r="AD20" i="1"/>
  <c r="AE20" i="1"/>
  <c r="AF20" i="1"/>
  <c r="AG20" i="1"/>
  <c r="AH20" i="1"/>
  <c r="AE21" i="1"/>
  <c r="AF21" i="1"/>
  <c r="AG21" i="1"/>
  <c r="AH21" i="1"/>
  <c r="AC21" i="1"/>
  <c r="W20" i="1"/>
  <c r="V21" i="1"/>
  <c r="X21" i="1"/>
  <c r="Y21" i="1"/>
  <c r="Z21" i="1"/>
  <c r="AA21" i="1"/>
  <c r="V22" i="1"/>
  <c r="W22" i="1"/>
  <c r="Y22" i="1"/>
  <c r="Z22" i="1"/>
  <c r="AA22" i="1"/>
  <c r="V23" i="1"/>
  <c r="W23" i="1"/>
  <c r="X23" i="1"/>
  <c r="Z23" i="1"/>
  <c r="AA23" i="1"/>
  <c r="V24" i="1"/>
  <c r="W24" i="1"/>
  <c r="X24" i="1"/>
  <c r="Y24" i="1"/>
  <c r="AA24" i="1"/>
  <c r="V25" i="1"/>
  <c r="W25" i="1"/>
  <c r="X25" i="1"/>
  <c r="Y25" i="1"/>
  <c r="Z25" i="1"/>
  <c r="X20" i="1"/>
  <c r="Y20" i="1"/>
  <c r="Z20" i="1"/>
  <c r="AA20" i="1"/>
  <c r="U22" i="1"/>
  <c r="U23" i="1"/>
  <c r="U24" i="1"/>
  <c r="U25" i="1"/>
  <c r="U20" i="1"/>
  <c r="U21" i="1"/>
  <c r="DI38" i="2" l="1"/>
  <c r="DI37" i="2"/>
  <c r="N43" i="2"/>
  <c r="AF9" i="2"/>
  <c r="AI12" i="2"/>
  <c r="AH12" i="2"/>
  <c r="AG9" i="2"/>
  <c r="AI8" i="2"/>
  <c r="AH8" i="2"/>
  <c r="P26" i="2"/>
  <c r="AM11" i="2"/>
  <c r="AI11" i="2"/>
  <c r="AH11" i="2"/>
  <c r="AG8" i="2"/>
  <c r="AL10" i="2"/>
  <c r="AM12" i="2"/>
  <c r="AF8" i="2"/>
  <c r="DH7" i="2"/>
  <c r="DP7" i="2" s="1"/>
  <c r="DO7" i="2"/>
  <c r="DH9" i="2"/>
  <c r="DP9" i="2" s="1"/>
  <c r="DH8" i="2"/>
  <c r="DP8" i="2" s="1"/>
  <c r="DH10" i="2"/>
  <c r="DP10" i="2" s="1"/>
  <c r="P24" i="2"/>
  <c r="AN8" i="1"/>
  <c r="AF11" i="2"/>
  <c r="AG11" i="2"/>
  <c r="AF12" i="2"/>
  <c r="AG12" i="2"/>
  <c r="CO6" i="1"/>
  <c r="CM8" i="1" s="1"/>
  <c r="AG54" i="1"/>
  <c r="BD54" i="1"/>
  <c r="CA54" i="1"/>
  <c r="CQ54" i="1"/>
  <c r="CY54" i="1"/>
  <c r="DD54" i="1" s="1"/>
  <c r="AE54" i="1"/>
  <c r="BB54" i="1"/>
  <c r="BY54" i="1"/>
  <c r="CO54" i="1"/>
  <c r="CW54" i="1"/>
  <c r="DF54" i="1" s="1"/>
  <c r="AC54" i="1"/>
  <c r="AZ54" i="1"/>
  <c r="BW54" i="1"/>
  <c r="CM54" i="1"/>
  <c r="CU54" i="1"/>
  <c r="CI49" i="1"/>
  <c r="AO49" i="1"/>
  <c r="BL50" i="1"/>
  <c r="CG49" i="1"/>
  <c r="AM49" i="1"/>
  <c r="BJ50" i="1"/>
  <c r="CE49" i="1"/>
  <c r="AK49" i="1"/>
  <c r="BH50" i="1"/>
  <c r="AK8" i="1"/>
  <c r="AH54" i="1"/>
  <c r="BE54" i="1"/>
  <c r="CB54" i="1"/>
  <c r="CR54" i="1"/>
  <c r="CZ54" i="1"/>
  <c r="DC54" i="1" s="1"/>
  <c r="AF54" i="1"/>
  <c r="BC54" i="1"/>
  <c r="BZ54" i="1"/>
  <c r="CP54" i="1"/>
  <c r="CX54" i="1"/>
  <c r="DE54" i="1" s="1"/>
  <c r="AD54" i="1"/>
  <c r="BA54" i="1"/>
  <c r="BX54" i="1"/>
  <c r="CN54" i="1"/>
  <c r="CV54" i="1"/>
  <c r="DG54" i="1" s="1"/>
  <c r="AP49" i="1"/>
  <c r="BM50" i="1"/>
  <c r="CJ49" i="1"/>
  <c r="AN49" i="1"/>
  <c r="BK50" i="1"/>
  <c r="CH49" i="1"/>
  <c r="AL49" i="1"/>
  <c r="BI50" i="1"/>
  <c r="CF49" i="1"/>
  <c r="BL43" i="1"/>
  <c r="AO42" i="1"/>
  <c r="CI42" i="1"/>
  <c r="BJ43" i="1"/>
  <c r="AM42" i="1"/>
  <c r="CG42" i="1"/>
  <c r="BH43" i="1"/>
  <c r="AK42" i="1"/>
  <c r="CE42" i="1"/>
  <c r="AP42" i="1"/>
  <c r="CJ42" i="1"/>
  <c r="BM43" i="1"/>
  <c r="AN42" i="1"/>
  <c r="CH42" i="1"/>
  <c r="BK43" i="1"/>
  <c r="AL42" i="1"/>
  <c r="CF42" i="1"/>
  <c r="BI43" i="1"/>
  <c r="AP63" i="1"/>
  <c r="AH61" i="1"/>
  <c r="BZ61" i="1"/>
  <c r="CX61" i="1"/>
  <c r="DD61" i="1" s="1"/>
  <c r="AN63" i="1"/>
  <c r="CH63" i="1"/>
  <c r="AF61" i="1"/>
  <c r="BC61" i="1"/>
  <c r="CP61" i="1"/>
  <c r="BK64" i="1"/>
  <c r="AC61" i="1"/>
  <c r="AZ61" i="1"/>
  <c r="CM61" i="1"/>
  <c r="BH64" i="1"/>
  <c r="BW61" i="1"/>
  <c r="CU61" i="1"/>
  <c r="AK63" i="1"/>
  <c r="CE63" i="1"/>
  <c r="AO56" i="1"/>
  <c r="CI56" i="1"/>
  <c r="BL57" i="1"/>
  <c r="AM56" i="1"/>
  <c r="CG56" i="1"/>
  <c r="BJ57" i="1"/>
  <c r="AK56" i="1"/>
  <c r="CE56" i="1"/>
  <c r="BH57" i="1"/>
  <c r="BD47" i="1"/>
  <c r="CQ47" i="1"/>
  <c r="AG47" i="1"/>
  <c r="CY47" i="1"/>
  <c r="DD47" i="1" s="1"/>
  <c r="CA47" i="1"/>
  <c r="AE47" i="1"/>
  <c r="BY47" i="1"/>
  <c r="CW47" i="1"/>
  <c r="DF47" i="1" s="1"/>
  <c r="CO47" i="1"/>
  <c r="BB47" i="1"/>
  <c r="AZ47" i="1"/>
  <c r="CM47" i="1"/>
  <c r="BW47" i="1"/>
  <c r="CU47" i="1"/>
  <c r="AC47" i="1"/>
  <c r="AG61" i="1"/>
  <c r="BD61" i="1"/>
  <c r="CQ61" i="1"/>
  <c r="BL64" i="1"/>
  <c r="CA61" i="1"/>
  <c r="CY61" i="1"/>
  <c r="DC61" i="1" s="1"/>
  <c r="AO63" i="1"/>
  <c r="CI63" i="1"/>
  <c r="BX61" i="1"/>
  <c r="CV61" i="1"/>
  <c r="DF61" i="1" s="1"/>
  <c r="AL63" i="1"/>
  <c r="CF63" i="1"/>
  <c r="AD61" i="1"/>
  <c r="BA61" i="1"/>
  <c r="CN61" i="1"/>
  <c r="BI64" i="1"/>
  <c r="BM57" i="1"/>
  <c r="AP56" i="1"/>
  <c r="CJ56" i="1"/>
  <c r="BK57" i="1"/>
  <c r="AN56" i="1"/>
  <c r="CH56" i="1"/>
  <c r="BI57" i="1"/>
  <c r="AL56" i="1"/>
  <c r="CF56" i="1"/>
  <c r="AH47" i="1"/>
  <c r="BE47" i="1"/>
  <c r="CB47" i="1"/>
  <c r="CR47" i="1"/>
  <c r="CZ47" i="1"/>
  <c r="DC47" i="1" s="1"/>
  <c r="AF47" i="1"/>
  <c r="BC47" i="1"/>
  <c r="BZ47" i="1"/>
  <c r="CP47" i="1"/>
  <c r="CX47" i="1"/>
  <c r="DE47" i="1" s="1"/>
  <c r="AD47" i="1"/>
  <c r="BA47" i="1"/>
  <c r="BX47" i="1"/>
  <c r="CN47" i="1"/>
  <c r="CV47" i="1"/>
  <c r="DG47" i="1" s="1"/>
  <c r="AE61" i="1"/>
  <c r="BB61" i="1"/>
  <c r="CO61" i="1"/>
  <c r="BJ64" i="1"/>
  <c r="BY61" i="1"/>
  <c r="CW61" i="1"/>
  <c r="DE61" i="1" s="1"/>
  <c r="AM63" i="1"/>
  <c r="CG63" i="1"/>
  <c r="AL8" i="1"/>
  <c r="DK7" i="1" s="1"/>
  <c r="AO22" i="1"/>
  <c r="DK24" i="1" s="1"/>
  <c r="AM22" i="1"/>
  <c r="DK22" i="1" s="1"/>
  <c r="AK22" i="1"/>
  <c r="DK20" i="1" s="1"/>
  <c r="AO15" i="1"/>
  <c r="DK17" i="1" s="1"/>
  <c r="AM15" i="1"/>
  <c r="DK15" i="1" s="1"/>
  <c r="AO36" i="1"/>
  <c r="DK38" i="1" s="1"/>
  <c r="AM36" i="1"/>
  <c r="DK36" i="1" s="1"/>
  <c r="AO29" i="1"/>
  <c r="DK31" i="1" s="1"/>
  <c r="AM29" i="1"/>
  <c r="DK29" i="1" s="1"/>
  <c r="AK29" i="1"/>
  <c r="DK27" i="1" s="1"/>
  <c r="BH8" i="1"/>
  <c r="AZ5" i="1"/>
  <c r="BJ8" i="1"/>
  <c r="BB5" i="1"/>
  <c r="BL8" i="1"/>
  <c r="BD5" i="1"/>
  <c r="BD40" i="1"/>
  <c r="BB40" i="1"/>
  <c r="AZ40" i="1"/>
  <c r="AO35" i="1"/>
  <c r="BL36" i="1"/>
  <c r="BD33" i="1"/>
  <c r="AM35" i="1"/>
  <c r="BJ36" i="1"/>
  <c r="BB33" i="1"/>
  <c r="AK35" i="1"/>
  <c r="BH36" i="1"/>
  <c r="AZ33" i="1"/>
  <c r="AO28" i="1"/>
  <c r="BL29" i="1"/>
  <c r="BD26" i="1"/>
  <c r="AM28" i="1"/>
  <c r="BJ29" i="1"/>
  <c r="BB26" i="1"/>
  <c r="AK28" i="1"/>
  <c r="BH29" i="1"/>
  <c r="AZ26" i="1"/>
  <c r="AO21" i="1"/>
  <c r="BL22" i="1"/>
  <c r="BD19" i="1"/>
  <c r="AM21" i="1"/>
  <c r="BJ22" i="1"/>
  <c r="BB19" i="1"/>
  <c r="AK21" i="1"/>
  <c r="BH22" i="1"/>
  <c r="AZ19" i="1"/>
  <c r="AO14" i="1"/>
  <c r="BL15" i="1"/>
  <c r="BD12" i="1"/>
  <c r="AM14" i="1"/>
  <c r="BJ15" i="1"/>
  <c r="BB12" i="1"/>
  <c r="AK14" i="1"/>
  <c r="BH15" i="1"/>
  <c r="AZ12" i="1"/>
  <c r="AP22" i="1"/>
  <c r="DK25" i="1" s="1"/>
  <c r="AN22" i="1"/>
  <c r="DK23" i="1" s="1"/>
  <c r="AL22" i="1"/>
  <c r="DK21" i="1" s="1"/>
  <c r="AP15" i="1"/>
  <c r="DK18" i="1" s="1"/>
  <c r="AN15" i="1"/>
  <c r="DK16" i="1" s="1"/>
  <c r="AL15" i="1"/>
  <c r="DK14" i="1" s="1"/>
  <c r="AK15" i="1"/>
  <c r="DK13" i="1" s="1"/>
  <c r="DK6" i="1"/>
  <c r="AP36" i="1"/>
  <c r="DK39" i="1" s="1"/>
  <c r="AN36" i="1"/>
  <c r="DK37" i="1" s="1"/>
  <c r="AL36" i="1"/>
  <c r="DK35" i="1" s="1"/>
  <c r="AK36" i="1"/>
  <c r="DK34" i="1" s="1"/>
  <c r="AP29" i="1"/>
  <c r="DK32" i="1" s="1"/>
  <c r="AN29" i="1"/>
  <c r="DK30" i="1" s="1"/>
  <c r="AL29" i="1"/>
  <c r="DK28" i="1" s="1"/>
  <c r="BI8" i="1"/>
  <c r="BA5" i="1"/>
  <c r="BK8" i="1"/>
  <c r="BC5" i="1"/>
  <c r="BM8" i="1"/>
  <c r="BE5" i="1"/>
  <c r="BE40" i="1"/>
  <c r="BC40" i="1"/>
  <c r="BA40" i="1"/>
  <c r="AP35" i="1"/>
  <c r="BM36" i="1"/>
  <c r="BE33" i="1"/>
  <c r="BK36" i="1"/>
  <c r="BC33" i="1"/>
  <c r="AN35" i="1"/>
  <c r="AL35" i="1"/>
  <c r="BI36" i="1"/>
  <c r="BA33" i="1"/>
  <c r="AP28" i="1"/>
  <c r="BM29" i="1"/>
  <c r="BE26" i="1"/>
  <c r="BK29" i="1"/>
  <c r="AN28" i="1"/>
  <c r="BC26" i="1"/>
  <c r="AL28" i="1"/>
  <c r="BI29" i="1"/>
  <c r="BA26" i="1"/>
  <c r="AH19" i="1"/>
  <c r="AP21" i="1"/>
  <c r="BE19" i="1"/>
  <c r="BM22" i="1"/>
  <c r="BK22" i="1"/>
  <c r="BC19" i="1"/>
  <c r="AN21" i="1"/>
  <c r="AL21" i="1"/>
  <c r="BA19" i="1"/>
  <c r="BI22" i="1"/>
  <c r="AP14" i="1"/>
  <c r="BE12" i="1"/>
  <c r="BM15" i="1"/>
  <c r="BK15" i="1"/>
  <c r="BC12" i="1"/>
  <c r="AN14" i="1"/>
  <c r="AL14" i="1"/>
  <c r="BA12" i="1"/>
  <c r="BI15" i="1"/>
  <c r="AF5" i="1"/>
  <c r="AH5" i="1"/>
  <c r="AF19" i="1"/>
  <c r="CP20" i="1"/>
  <c r="CM23" i="1" s="1"/>
  <c r="CR23" i="1"/>
  <c r="CP25" i="1" s="1"/>
  <c r="CQ22" i="1"/>
  <c r="CO24" i="1" s="1"/>
  <c r="CR21" i="1"/>
  <c r="CN25" i="1" s="1"/>
  <c r="CP21" i="1"/>
  <c r="CN23" i="1" s="1"/>
  <c r="CQ13" i="1"/>
  <c r="CM17" i="1" s="1"/>
  <c r="CO13" i="1"/>
  <c r="CM15" i="1" s="1"/>
  <c r="AD19" i="1"/>
  <c r="CR13" i="1"/>
  <c r="CM18" i="1" s="1"/>
  <c r="CR20" i="1"/>
  <c r="CM25" i="1" s="1"/>
  <c r="CR16" i="1"/>
  <c r="CP18" i="1" s="1"/>
  <c r="CQ15" i="1"/>
  <c r="CO17" i="1" s="1"/>
  <c r="CQ14" i="1"/>
  <c r="CN17" i="1" s="1"/>
  <c r="CO14" i="1"/>
  <c r="CN15" i="1" s="1"/>
  <c r="CR38" i="1"/>
  <c r="CQ39" i="1" s="1"/>
  <c r="CQ37" i="1"/>
  <c r="CP38" i="1" s="1"/>
  <c r="CR36" i="1"/>
  <c r="CO39" i="1" s="1"/>
  <c r="CP36" i="1"/>
  <c r="CO37" i="1" s="1"/>
  <c r="CQ35" i="1"/>
  <c r="CN38" i="1" s="1"/>
  <c r="CO35" i="1"/>
  <c r="CN36" i="1" s="1"/>
  <c r="CQ34" i="1"/>
  <c r="CM38" i="1" s="1"/>
  <c r="CO34" i="1"/>
  <c r="CM36" i="1" s="1"/>
  <c r="CR31" i="1"/>
  <c r="CQ32" i="1" s="1"/>
  <c r="CQ30" i="1"/>
  <c r="CP31" i="1" s="1"/>
  <c r="CR29" i="1"/>
  <c r="CO32" i="1" s="1"/>
  <c r="CP29" i="1"/>
  <c r="CO30" i="1" s="1"/>
  <c r="CQ28" i="1"/>
  <c r="CN31" i="1" s="1"/>
  <c r="CO28" i="1"/>
  <c r="CN29" i="1" s="1"/>
  <c r="CP27" i="1"/>
  <c r="CM30" i="1" s="1"/>
  <c r="CN27" i="1"/>
  <c r="CM28" i="1" s="1"/>
  <c r="CU5" i="1"/>
  <c r="CM5" i="1"/>
  <c r="CW5" i="1"/>
  <c r="DF5" i="1" s="1"/>
  <c r="CY5" i="1"/>
  <c r="DD5" i="1" s="1"/>
  <c r="CY40" i="1"/>
  <c r="DD40" i="1" s="1"/>
  <c r="CQ40" i="1"/>
  <c r="CW40" i="1"/>
  <c r="DF40" i="1" s="1"/>
  <c r="CO40" i="1"/>
  <c r="CU40" i="1"/>
  <c r="CM40" i="1"/>
  <c r="CY33" i="1"/>
  <c r="DD33" i="1" s="1"/>
  <c r="CQ33" i="1"/>
  <c r="CW33" i="1"/>
  <c r="DF33" i="1" s="1"/>
  <c r="CO33" i="1"/>
  <c r="CU33" i="1"/>
  <c r="CM33" i="1"/>
  <c r="CY26" i="1"/>
  <c r="DD26" i="1" s="1"/>
  <c r="CQ26" i="1"/>
  <c r="CW26" i="1"/>
  <c r="DF26" i="1" s="1"/>
  <c r="CO26" i="1"/>
  <c r="CU26" i="1"/>
  <c r="CM26" i="1"/>
  <c r="CY19" i="1"/>
  <c r="DD19" i="1" s="1"/>
  <c r="CQ19" i="1"/>
  <c r="CW19" i="1"/>
  <c r="DF19" i="1" s="1"/>
  <c r="CO19" i="1"/>
  <c r="CU19" i="1"/>
  <c r="CM19" i="1"/>
  <c r="CY12" i="1"/>
  <c r="DD12" i="1" s="1"/>
  <c r="CQ12" i="1"/>
  <c r="CW12" i="1"/>
  <c r="DF12" i="1" s="1"/>
  <c r="CO12" i="1"/>
  <c r="CU12" i="1"/>
  <c r="CM12" i="1"/>
  <c r="CQ20" i="1"/>
  <c r="CM24" i="1" s="1"/>
  <c r="CO20" i="1"/>
  <c r="CM22" i="1" s="1"/>
  <c r="CR24" i="1"/>
  <c r="CQ25" i="1" s="1"/>
  <c r="CQ23" i="1"/>
  <c r="CP24" i="1" s="1"/>
  <c r="CR22" i="1"/>
  <c r="CO25" i="1" s="1"/>
  <c r="CP22" i="1"/>
  <c r="CO23" i="1" s="1"/>
  <c r="CQ21" i="1"/>
  <c r="CN24" i="1" s="1"/>
  <c r="CO21" i="1"/>
  <c r="CN22" i="1" s="1"/>
  <c r="CN20" i="1"/>
  <c r="CM21" i="1" s="1"/>
  <c r="CR17" i="1"/>
  <c r="CQ18" i="1" s="1"/>
  <c r="CQ16" i="1"/>
  <c r="CP17" i="1" s="1"/>
  <c r="CR15" i="1"/>
  <c r="CO18" i="1" s="1"/>
  <c r="CP15" i="1"/>
  <c r="CO16" i="1" s="1"/>
  <c r="CR14" i="1"/>
  <c r="CN18" i="1" s="1"/>
  <c r="CP14" i="1"/>
  <c r="CN16" i="1" s="1"/>
  <c r="CP13" i="1"/>
  <c r="CM16" i="1" s="1"/>
  <c r="CN13" i="1"/>
  <c r="CM14" i="1" s="1"/>
  <c r="CR6" i="1"/>
  <c r="CM11" i="1" s="1"/>
  <c r="CR9" i="1"/>
  <c r="CP11" i="1" s="1"/>
  <c r="CP6" i="1"/>
  <c r="CM9" i="1" s="1"/>
  <c r="CN6" i="1"/>
  <c r="CM7" i="1" s="1"/>
  <c r="CR34" i="1"/>
  <c r="CM39" i="1" s="1"/>
  <c r="CR37" i="1"/>
  <c r="CP39" i="1" s="1"/>
  <c r="CQ36" i="1"/>
  <c r="CO38" i="1" s="1"/>
  <c r="CR35" i="1"/>
  <c r="CN39" i="1" s="1"/>
  <c r="CP35" i="1"/>
  <c r="CN37" i="1" s="1"/>
  <c r="CP34" i="1"/>
  <c r="CM37" i="1" s="1"/>
  <c r="CN34" i="1"/>
  <c r="CM35" i="1" s="1"/>
  <c r="CR27" i="1"/>
  <c r="CM32" i="1" s="1"/>
  <c r="CR30" i="1"/>
  <c r="CP32" i="1" s="1"/>
  <c r="CQ29" i="1"/>
  <c r="CO31" i="1" s="1"/>
  <c r="CR28" i="1"/>
  <c r="CN32" i="1" s="1"/>
  <c r="CP28" i="1"/>
  <c r="CN30" i="1" s="1"/>
  <c r="CQ27" i="1"/>
  <c r="CM31" i="1" s="1"/>
  <c r="CO27" i="1"/>
  <c r="CM29" i="1" s="1"/>
  <c r="CV5" i="1"/>
  <c r="DG5" i="1" s="1"/>
  <c r="CX5" i="1"/>
  <c r="DE5" i="1" s="1"/>
  <c r="CZ5" i="1"/>
  <c r="DC5" i="1" s="1"/>
  <c r="CZ40" i="1"/>
  <c r="DC40" i="1" s="1"/>
  <c r="CR40" i="1"/>
  <c r="CX40" i="1"/>
  <c r="DE40" i="1" s="1"/>
  <c r="CP40" i="1"/>
  <c r="CV40" i="1"/>
  <c r="DG40" i="1" s="1"/>
  <c r="CN40" i="1"/>
  <c r="CZ33" i="1"/>
  <c r="DC33" i="1" s="1"/>
  <c r="CR33" i="1"/>
  <c r="CX33" i="1"/>
  <c r="DE33" i="1" s="1"/>
  <c r="CP33" i="1"/>
  <c r="CV33" i="1"/>
  <c r="DG33" i="1" s="1"/>
  <c r="CN33" i="1"/>
  <c r="CZ26" i="1"/>
  <c r="DC26" i="1" s="1"/>
  <c r="CR26" i="1"/>
  <c r="CX26" i="1"/>
  <c r="DE26" i="1" s="1"/>
  <c r="CP26" i="1"/>
  <c r="CV26" i="1"/>
  <c r="DG26" i="1" s="1"/>
  <c r="CN26" i="1"/>
  <c r="CZ19" i="1"/>
  <c r="DC19" i="1" s="1"/>
  <c r="CR19" i="1"/>
  <c r="CX19" i="1"/>
  <c r="DE19" i="1" s="1"/>
  <c r="CP19" i="1"/>
  <c r="CV19" i="1"/>
  <c r="DG19" i="1" s="1"/>
  <c r="CN19" i="1"/>
  <c r="CZ12" i="1"/>
  <c r="DC12" i="1" s="1"/>
  <c r="CR12" i="1"/>
  <c r="CX12" i="1"/>
  <c r="DE12" i="1" s="1"/>
  <c r="CP12" i="1"/>
  <c r="CV12" i="1"/>
  <c r="DG12" i="1" s="1"/>
  <c r="CN12" i="1"/>
  <c r="CR10" i="1"/>
  <c r="CQ11" i="1" s="1"/>
  <c r="CR8" i="1"/>
  <c r="CO11" i="1" s="1"/>
  <c r="CP8" i="1"/>
  <c r="CO9" i="1" s="1"/>
  <c r="CQ7" i="1"/>
  <c r="CO7" i="1"/>
  <c r="BW5" i="1"/>
  <c r="BY5" i="1"/>
  <c r="CO5" i="1"/>
  <c r="CA5" i="1"/>
  <c r="CQ5" i="1"/>
  <c r="AE12" i="1"/>
  <c r="CQ9" i="1"/>
  <c r="CP10" i="1" s="1"/>
  <c r="CQ8" i="1"/>
  <c r="CO10" i="1" s="1"/>
  <c r="CR7" i="1"/>
  <c r="CP7" i="1"/>
  <c r="CQ6" i="1"/>
  <c r="AG33" i="1"/>
  <c r="BX5" i="1"/>
  <c r="CN5" i="1"/>
  <c r="BZ5" i="1"/>
  <c r="CP5" i="1"/>
  <c r="CR5" i="1"/>
  <c r="AF40" i="1"/>
  <c r="AH26" i="1"/>
  <c r="AC19" i="1"/>
  <c r="AG19" i="1"/>
  <c r="AE19" i="1"/>
  <c r="AG5" i="1"/>
  <c r="CA40" i="1"/>
  <c r="BY40" i="1"/>
  <c r="BW40" i="1"/>
  <c r="CI35" i="1"/>
  <c r="CA33" i="1"/>
  <c r="CG35" i="1"/>
  <c r="BY33" i="1"/>
  <c r="CE35" i="1"/>
  <c r="BW33" i="1"/>
  <c r="CI28" i="1"/>
  <c r="CA26" i="1"/>
  <c r="CG28" i="1"/>
  <c r="BY26" i="1"/>
  <c r="CE28" i="1"/>
  <c r="BW26" i="1"/>
  <c r="CI21" i="1"/>
  <c r="CA19" i="1"/>
  <c r="CG21" i="1"/>
  <c r="BY19" i="1"/>
  <c r="CE21" i="1"/>
  <c r="BW19" i="1"/>
  <c r="CI14" i="1"/>
  <c r="CA12" i="1"/>
  <c r="CG14" i="1"/>
  <c r="BY12" i="1"/>
  <c r="CE14" i="1"/>
  <c r="BW12" i="1"/>
  <c r="AC40" i="1"/>
  <c r="AC33" i="1"/>
  <c r="CB40" i="1"/>
  <c r="BZ40" i="1"/>
  <c r="BX40" i="1"/>
  <c r="CJ35" i="1"/>
  <c r="CB33" i="1"/>
  <c r="BZ33" i="1"/>
  <c r="CH35" i="1"/>
  <c r="CF35" i="1"/>
  <c r="BX33" i="1"/>
  <c r="CJ28" i="1"/>
  <c r="CB26" i="1"/>
  <c r="BZ26" i="1"/>
  <c r="CH28" i="1"/>
  <c r="CF28" i="1"/>
  <c r="BX26" i="1"/>
  <c r="CJ21" i="1"/>
  <c r="CB19" i="1"/>
  <c r="BZ19" i="1"/>
  <c r="CH21" i="1"/>
  <c r="CF21" i="1"/>
  <c r="BX19" i="1"/>
  <c r="CJ14" i="1"/>
  <c r="CB12" i="1"/>
  <c r="BZ12" i="1"/>
  <c r="CH14" i="1"/>
  <c r="CF14" i="1"/>
  <c r="BX12" i="1"/>
  <c r="CH10" i="1"/>
  <c r="CJ7" i="1"/>
  <c r="CB5" i="1"/>
  <c r="AH12" i="1"/>
  <c r="AF12" i="1"/>
  <c r="AD12" i="1"/>
  <c r="AM8" i="1"/>
  <c r="DK8" i="1" s="1"/>
  <c r="AP7" i="1"/>
  <c r="CI10" i="1"/>
  <c r="AD5" i="1"/>
  <c r="AH40" i="1"/>
  <c r="AF26" i="1"/>
  <c r="AG40" i="1"/>
  <c r="AE40" i="1"/>
  <c r="AE33" i="1"/>
  <c r="AG26" i="1"/>
  <c r="AE26" i="1"/>
  <c r="AC26" i="1"/>
  <c r="AG12" i="1"/>
  <c r="AC12" i="1"/>
  <c r="AC5" i="1"/>
  <c r="AK7" i="1"/>
  <c r="CE7" i="1"/>
  <c r="AE5" i="1"/>
  <c r="AM7" i="1"/>
  <c r="CG7" i="1"/>
  <c r="AO7" i="1"/>
  <c r="CI7" i="1"/>
  <c r="CF7" i="1"/>
  <c r="AL7" i="1"/>
  <c r="CH7" i="1"/>
  <c r="AN7" i="1"/>
  <c r="AD40" i="1"/>
  <c r="AO8" i="1"/>
  <c r="DK10" i="1" s="1"/>
  <c r="AP8" i="1"/>
  <c r="DK11" i="1" s="1"/>
  <c r="DK9" i="1"/>
  <c r="AH33" i="1"/>
  <c r="AF33" i="1"/>
  <c r="AD33" i="1"/>
  <c r="AL9" i="2" l="1"/>
  <c r="AL8" i="2"/>
  <c r="M14" i="2"/>
  <c r="AD7" i="2" s="1"/>
  <c r="M13" i="2"/>
  <c r="M12" i="2"/>
  <c r="DI9" i="2"/>
  <c r="DI7" i="2"/>
  <c r="DI10" i="2"/>
  <c r="DI8" i="2"/>
  <c r="AL12" i="2"/>
  <c r="AL11" i="2"/>
  <c r="CV6" i="1"/>
  <c r="CU14" i="1"/>
  <c r="CY25" i="1"/>
  <c r="CY6" i="1"/>
  <c r="CU18" i="1"/>
  <c r="CW21" i="1"/>
  <c r="CU21" i="1"/>
  <c r="CZ21" i="1"/>
  <c r="CX21" i="1"/>
  <c r="CY21" i="1"/>
  <c r="CV25" i="1"/>
  <c r="CU25" i="1"/>
  <c r="CW25" i="1"/>
  <c r="CX25" i="1"/>
  <c r="CY20" i="1"/>
  <c r="CV20" i="1"/>
  <c r="CZ20" i="1"/>
  <c r="CW20" i="1"/>
  <c r="CX20" i="1"/>
  <c r="CW38" i="1"/>
  <c r="CV38" i="1"/>
  <c r="CU38" i="1"/>
  <c r="CZ38" i="1"/>
  <c r="CX38" i="1"/>
  <c r="CU29" i="1"/>
  <c r="CX29" i="1"/>
  <c r="CV29" i="1"/>
  <c r="CZ29" i="1"/>
  <c r="CY29" i="1"/>
  <c r="CW28" i="1"/>
  <c r="CU28" i="1"/>
  <c r="CZ28" i="1"/>
  <c r="CX28" i="1"/>
  <c r="CY28" i="1"/>
  <c r="CW34" i="1"/>
  <c r="CX34" i="1"/>
  <c r="CV34" i="1"/>
  <c r="CZ34" i="1"/>
  <c r="CY34" i="1"/>
  <c r="CV37" i="1"/>
  <c r="CW37" i="1"/>
  <c r="CU37" i="1"/>
  <c r="CZ37" i="1"/>
  <c r="CY37" i="1"/>
  <c r="CU39" i="1"/>
  <c r="CY39" i="1"/>
  <c r="CW39" i="1"/>
  <c r="CV39" i="1"/>
  <c r="CX39" i="1"/>
  <c r="CW14" i="1"/>
  <c r="CY14" i="1"/>
  <c r="CX14" i="1"/>
  <c r="CZ14" i="1"/>
  <c r="CX17" i="1"/>
  <c r="CU17" i="1"/>
  <c r="CZ17" i="1"/>
  <c r="CV17" i="1"/>
  <c r="CW17" i="1"/>
  <c r="CV22" i="1"/>
  <c r="CX22" i="1"/>
  <c r="CU22" i="1"/>
  <c r="CZ22" i="1"/>
  <c r="CY22" i="1"/>
  <c r="CW24" i="1"/>
  <c r="CV24" i="1"/>
  <c r="CU24" i="1"/>
  <c r="CZ24" i="1"/>
  <c r="CX24" i="1"/>
  <c r="CW23" i="1"/>
  <c r="CV23" i="1"/>
  <c r="CZ23" i="1"/>
  <c r="CU23" i="1"/>
  <c r="CY23" i="1"/>
  <c r="CU31" i="1"/>
  <c r="CW31" i="1"/>
  <c r="CV31" i="1"/>
  <c r="CZ31" i="1"/>
  <c r="CX31" i="1"/>
  <c r="CU16" i="1"/>
  <c r="CV16" i="1"/>
  <c r="CZ16" i="1"/>
  <c r="CY16" i="1"/>
  <c r="DD16" i="1" s="1"/>
  <c r="CW16" i="1"/>
  <c r="CV27" i="1"/>
  <c r="CX27" i="1"/>
  <c r="CW27" i="1"/>
  <c r="CZ27" i="1"/>
  <c r="CY27" i="1"/>
  <c r="DD27" i="1" s="1"/>
  <c r="CU30" i="1"/>
  <c r="CV30" i="1"/>
  <c r="CW30" i="1"/>
  <c r="CZ30" i="1"/>
  <c r="CY30" i="1"/>
  <c r="CV32" i="1"/>
  <c r="CW32" i="1"/>
  <c r="CU32" i="1"/>
  <c r="CX32" i="1"/>
  <c r="CY32" i="1"/>
  <c r="CV36" i="1"/>
  <c r="CX36" i="1"/>
  <c r="CZ36" i="1"/>
  <c r="CU36" i="1"/>
  <c r="CY36" i="1"/>
  <c r="CX35" i="1"/>
  <c r="CW35" i="1"/>
  <c r="DF35" i="1" s="1"/>
  <c r="CZ35" i="1"/>
  <c r="CU35" i="1"/>
  <c r="CY35" i="1"/>
  <c r="CW13" i="1"/>
  <c r="CY13" i="1"/>
  <c r="CV13" i="1"/>
  <c r="DG13" i="1" s="1"/>
  <c r="CZ13" i="1"/>
  <c r="DC13" i="1" s="1"/>
  <c r="CX13" i="1"/>
  <c r="DE13" i="1" s="1"/>
  <c r="CV15" i="1"/>
  <c r="CY15" i="1"/>
  <c r="CU15" i="1"/>
  <c r="CZ15" i="1"/>
  <c r="CX15" i="1"/>
  <c r="CU7" i="1"/>
  <c r="CW6" i="1"/>
  <c r="CX6" i="1"/>
  <c r="CZ6" i="1"/>
  <c r="CY11" i="1"/>
  <c r="CW11" i="1"/>
  <c r="CU11" i="1"/>
  <c r="CX11" i="1"/>
  <c r="CY8" i="1"/>
  <c r="CU8" i="1"/>
  <c r="CX8" i="1"/>
  <c r="CZ8" i="1"/>
  <c r="DC8" i="1" s="1"/>
  <c r="CX7" i="1"/>
  <c r="CN9" i="1"/>
  <c r="CV9" i="1" s="1"/>
  <c r="CY7" i="1"/>
  <c r="CN10" i="1"/>
  <c r="CV10" i="1" s="1"/>
  <c r="CZ9" i="1"/>
  <c r="CW9" i="1"/>
  <c r="CU9" i="1"/>
  <c r="CY9" i="1"/>
  <c r="CW10" i="1"/>
  <c r="CX10" i="1"/>
  <c r="CZ10" i="1"/>
  <c r="DC10" i="1" s="1"/>
  <c r="CM10" i="1"/>
  <c r="CU10" i="1" s="1"/>
  <c r="CZ7" i="1"/>
  <c r="CN11" i="1"/>
  <c r="CV11" i="1" s="1"/>
  <c r="CW7" i="1"/>
  <c r="CN8" i="1"/>
  <c r="CV8" i="1" s="1"/>
  <c r="AI7" i="2" l="1"/>
  <c r="AH7" i="2"/>
  <c r="DC35" i="1"/>
  <c r="DE35" i="1"/>
  <c r="DC36" i="1"/>
  <c r="DG20" i="1"/>
  <c r="DD37" i="1"/>
  <c r="DC20" i="1"/>
  <c r="DE15" i="1"/>
  <c r="DD13" i="1"/>
  <c r="DD35" i="1"/>
  <c r="DE36" i="1"/>
  <c r="DF27" i="1"/>
  <c r="DG27" i="1"/>
  <c r="DC22" i="1"/>
  <c r="DF28" i="1"/>
  <c r="DD15" i="1"/>
  <c r="DD36" i="1"/>
  <c r="DD30" i="1"/>
  <c r="DD23" i="1"/>
  <c r="DC23" i="1"/>
  <c r="DC24" i="1"/>
  <c r="DD34" i="1"/>
  <c r="DC30" i="1"/>
  <c r="DE22" i="1"/>
  <c r="DE14" i="1"/>
  <c r="DF14" i="1"/>
  <c r="DC34" i="1"/>
  <c r="DE34" i="1"/>
  <c r="DD28" i="1"/>
  <c r="DC28" i="1"/>
  <c r="DC29" i="1"/>
  <c r="DE29" i="1"/>
  <c r="DF20" i="1"/>
  <c r="DE21" i="1"/>
  <c r="DF13" i="1"/>
  <c r="DC27" i="1"/>
  <c r="DE27" i="1"/>
  <c r="DC31" i="1"/>
  <c r="DD22" i="1"/>
  <c r="DD14" i="1"/>
  <c r="DC37" i="1"/>
  <c r="DG34" i="1"/>
  <c r="DF34" i="1"/>
  <c r="DE28" i="1"/>
  <c r="DD29" i="1"/>
  <c r="DC38" i="1"/>
  <c r="DE20" i="1"/>
  <c r="DD20" i="1"/>
  <c r="DD21" i="1"/>
  <c r="DC21" i="1"/>
  <c r="DF21" i="1"/>
  <c r="DC6" i="1"/>
  <c r="CX18" i="1"/>
  <c r="DC16" i="1" s="1"/>
  <c r="DG6" i="1"/>
  <c r="CW18" i="1"/>
  <c r="DC15" i="1" s="1"/>
  <c r="CY18" i="1"/>
  <c r="DC17" i="1" s="1"/>
  <c r="CV18" i="1"/>
  <c r="DC14" i="1" s="1"/>
  <c r="DF7" i="1"/>
  <c r="DC7" i="1"/>
  <c r="DD6" i="1"/>
  <c r="DE6" i="1"/>
  <c r="DD9" i="1"/>
  <c r="DC9" i="1"/>
  <c r="DD7" i="1"/>
  <c r="DE7" i="1"/>
  <c r="DE8" i="1"/>
  <c r="DD8" i="1"/>
  <c r="DF6" i="1"/>
  <c r="DL6" i="1" l="1"/>
  <c r="DL13" i="1"/>
  <c r="DL21" i="1"/>
  <c r="DL14" i="1"/>
  <c r="DL18" i="1"/>
  <c r="DL16" i="1"/>
  <c r="DL24" i="1"/>
  <c r="DL22" i="1"/>
  <c r="DL20" i="1"/>
  <c r="DL27" i="1"/>
  <c r="DL28" i="1"/>
  <c r="DL29" i="1"/>
  <c r="DL30" i="1"/>
  <c r="DL31" i="1"/>
  <c r="DL32" i="1"/>
  <c r="DL34" i="1"/>
  <c r="DL35" i="1"/>
  <c r="DL36" i="1"/>
  <c r="DL37" i="1"/>
  <c r="DL38" i="1"/>
  <c r="DL39" i="1"/>
  <c r="DL17" i="1"/>
  <c r="DL15" i="1"/>
  <c r="DL25" i="1"/>
  <c r="DL23" i="1"/>
  <c r="DL11" i="1"/>
  <c r="DL9" i="1"/>
  <c r="DL7" i="1"/>
  <c r="DL10" i="1"/>
  <c r="DL8" i="1"/>
  <c r="DP29" i="1" l="1"/>
  <c r="DT11" i="1" s="1"/>
  <c r="DP8" i="1"/>
  <c r="DP13" i="1"/>
  <c r="O44" i="1" s="1"/>
  <c r="DP18" i="1"/>
  <c r="DR18" i="1" s="1"/>
  <c r="DP39" i="1"/>
  <c r="DR39" i="1" s="1"/>
  <c r="DP37" i="1"/>
  <c r="DR37" i="1" s="1"/>
  <c r="DP35" i="1"/>
  <c r="DP38" i="1"/>
  <c r="DR38" i="1" s="1"/>
  <c r="DP36" i="1"/>
  <c r="DP34" i="1"/>
  <c r="O45" i="1" s="1"/>
  <c r="DP27" i="1"/>
  <c r="DP31" i="1"/>
  <c r="DR31" i="1" s="1"/>
  <c r="DP30" i="1"/>
  <c r="DR30" i="1" s="1"/>
  <c r="DP28" i="1"/>
  <c r="DP32" i="1"/>
  <c r="DR32" i="1" s="1"/>
  <c r="DP15" i="1"/>
  <c r="DP17" i="1"/>
  <c r="DR17" i="1" s="1"/>
  <c r="DP16" i="1"/>
  <c r="DR16" i="1" s="1"/>
  <c r="DP20" i="1"/>
  <c r="DP22" i="1"/>
  <c r="DP24" i="1"/>
  <c r="DR24" i="1" s="1"/>
  <c r="DP21" i="1"/>
  <c r="DP25" i="1"/>
  <c r="DR25" i="1" s="1"/>
  <c r="DP23" i="1"/>
  <c r="DR23" i="1" s="1"/>
  <c r="DP14" i="1"/>
  <c r="DP11" i="1"/>
  <c r="DR11" i="1" s="1"/>
  <c r="DP9" i="1"/>
  <c r="DR9" i="1" s="1"/>
  <c r="DP7" i="1"/>
  <c r="DP10" i="1"/>
  <c r="DR10" i="1" s="1"/>
  <c r="DP6" i="1"/>
  <c r="M44" i="1" s="1"/>
  <c r="DR13" i="1" l="1"/>
  <c r="DT10" i="1"/>
  <c r="DT9" i="1"/>
  <c r="DX9" i="1" s="1"/>
  <c r="G57" i="1" s="1"/>
  <c r="DT12" i="1"/>
  <c r="DT13" i="1"/>
  <c r="DU16" i="1"/>
  <c r="D64" i="1" s="1"/>
  <c r="DT16" i="1"/>
  <c r="C64" i="1" s="1"/>
  <c r="DX16" i="1"/>
  <c r="G64" i="1" s="1"/>
  <c r="DV16" i="1"/>
  <c r="E64" i="1" s="1"/>
  <c r="DW16" i="1"/>
  <c r="F64" i="1" s="1"/>
  <c r="Q44" i="1"/>
  <c r="DR20" i="1"/>
  <c r="DR29" i="1"/>
  <c r="DR34" i="1"/>
  <c r="Q45" i="1"/>
  <c r="Q46" i="1"/>
  <c r="L45" i="1"/>
  <c r="DR21" i="1"/>
  <c r="DR22" i="1"/>
  <c r="N45" i="1"/>
  <c r="DR28" i="1"/>
  <c r="M45" i="1"/>
  <c r="DR27" i="1"/>
  <c r="DR36" i="1"/>
  <c r="P45" i="1"/>
  <c r="DR35" i="1"/>
  <c r="L46" i="1"/>
  <c r="L47" i="1"/>
  <c r="P44" i="1"/>
  <c r="DR14" i="1"/>
  <c r="DR15" i="1"/>
  <c r="DR8" i="1"/>
  <c r="N44" i="1"/>
  <c r="DR7" i="1"/>
  <c r="DR6" i="1"/>
  <c r="DT8" i="1"/>
  <c r="DU8" i="1" s="1"/>
  <c r="DU9" i="1" l="1"/>
  <c r="DX11" i="1"/>
  <c r="G59" i="1" s="1"/>
  <c r="C59" i="1"/>
  <c r="DV12" i="1"/>
  <c r="E60" i="1" s="1"/>
  <c r="C60" i="1"/>
  <c r="DW9" i="1"/>
  <c r="F57" i="1" s="1"/>
  <c r="C57" i="1"/>
  <c r="DX13" i="1"/>
  <c r="G61" i="1" s="1"/>
  <c r="C61" i="1"/>
  <c r="DX10" i="1"/>
  <c r="G58" i="1" s="1"/>
  <c r="C58" i="1"/>
  <c r="DW10" i="1"/>
  <c r="F58" i="1" s="1"/>
  <c r="DV10" i="1"/>
  <c r="E58" i="1" s="1"/>
  <c r="DV9" i="1"/>
  <c r="E57" i="1" s="1"/>
  <c r="EA11" i="1"/>
  <c r="DU11" i="1"/>
  <c r="D59" i="1" s="1"/>
  <c r="EA13" i="1"/>
  <c r="DU13" i="1"/>
  <c r="D61" i="1" s="1"/>
  <c r="DU12" i="1"/>
  <c r="D60" i="1" s="1"/>
  <c r="EA12" i="1"/>
  <c r="D56" i="1"/>
  <c r="EA8" i="1"/>
  <c r="C56" i="1"/>
  <c r="DV11" i="1"/>
  <c r="E59" i="1" s="1"/>
  <c r="DW11" i="1"/>
  <c r="F59" i="1" s="1"/>
  <c r="DV13" i="1"/>
  <c r="E61" i="1" s="1"/>
  <c r="DW13" i="1"/>
  <c r="F61" i="1" s="1"/>
  <c r="DW12" i="1"/>
  <c r="F60" i="1" s="1"/>
  <c r="DX12" i="1"/>
  <c r="G60" i="1" s="1"/>
  <c r="EA9" i="1"/>
  <c r="D57" i="1"/>
  <c r="DU10" i="1"/>
  <c r="D58" i="1" s="1"/>
  <c r="EA10" i="1"/>
  <c r="EA16" i="1"/>
  <c r="DY16" i="1"/>
  <c r="DZ16" i="1"/>
  <c r="DV8" i="1"/>
  <c r="DW8" i="1"/>
  <c r="F56" i="1" s="1"/>
  <c r="DX8" i="1"/>
  <c r="G56" i="1" s="1"/>
  <c r="DY9" i="1" l="1"/>
  <c r="DY10" i="1"/>
  <c r="DZ9" i="1"/>
  <c r="DY12" i="1"/>
  <c r="DY11" i="1"/>
  <c r="DZ12" i="1"/>
  <c r="DZ11" i="1"/>
  <c r="DZ8" i="1"/>
  <c r="E56" i="1"/>
  <c r="DZ10" i="1"/>
  <c r="DY13" i="1"/>
  <c r="DZ13" i="1"/>
  <c r="DY8" i="1"/>
  <c r="CM57" i="1"/>
  <c r="CU57" i="1" s="1"/>
  <c r="DF55" i="1" s="1"/>
  <c r="CM59" i="1"/>
  <c r="CU59" i="1"/>
  <c r="DD55" i="1" s="1"/>
  <c r="CM56" i="1"/>
  <c r="CU56" i="1"/>
  <c r="DG55" i="1" s="1"/>
  <c r="CM60" i="1"/>
  <c r="CU60" i="1"/>
  <c r="DC55" i="1" s="1"/>
  <c r="CM58" i="1"/>
  <c r="CU58" i="1" s="1"/>
  <c r="DE55" i="1" s="1"/>
  <c r="DL48" i="1"/>
  <c r="DP50" i="1" l="1"/>
  <c r="DP51" i="1"/>
  <c r="DR51" i="1" s="1"/>
  <c r="DP53" i="1"/>
  <c r="DR53" i="1" s="1"/>
  <c r="DP49" i="1"/>
  <c r="DP52" i="1"/>
  <c r="DR52" i="1" s="1"/>
  <c r="DL55" i="1"/>
  <c r="DL58" i="1"/>
  <c r="DL59" i="1"/>
  <c r="DP48" i="1"/>
  <c r="DL56" i="1"/>
  <c r="DL60" i="1"/>
  <c r="DL57" i="1"/>
  <c r="DP55" i="1" l="1"/>
  <c r="DP58" i="1"/>
  <c r="DR58" i="1" s="1"/>
  <c r="DP59" i="1"/>
  <c r="DR59" i="1" s="1"/>
  <c r="DP56" i="1"/>
  <c r="DP60" i="1"/>
  <c r="DR60" i="1" s="1"/>
  <c r="DP57" i="1"/>
  <c r="DR49" i="1"/>
  <c r="N46" i="1"/>
  <c r="DR48" i="1"/>
  <c r="M46" i="1"/>
  <c r="DR50" i="1"/>
  <c r="DT14" i="1"/>
  <c r="DV14" i="1"/>
  <c r="E62" i="1" s="1"/>
  <c r="DX14" i="1"/>
  <c r="G62" i="1" s="1"/>
  <c r="DU14" i="1"/>
  <c r="DW14" i="1"/>
  <c r="DR55" i="1" l="1"/>
  <c r="O46" i="1"/>
  <c r="F62" i="1"/>
  <c r="DY14" i="1"/>
  <c r="C62" i="1"/>
  <c r="EA14" i="1"/>
  <c r="DR57" i="1"/>
  <c r="DT15" i="1"/>
  <c r="P46" i="1"/>
  <c r="DR56" i="1"/>
  <c r="D62" i="1"/>
  <c r="DZ14" i="1"/>
  <c r="C63" i="1" l="1"/>
  <c r="EA15" i="1"/>
  <c r="DV15" i="1"/>
  <c r="E63" i="1" s="1"/>
  <c r="DX15" i="1"/>
  <c r="G63" i="1" s="1"/>
  <c r="DW15" i="1"/>
  <c r="DU15" i="1"/>
  <c r="D63" i="1" l="1"/>
  <c r="DZ15" i="1"/>
  <c r="DY15" i="1"/>
  <c r="F63" i="1"/>
  <c r="I59" i="1" l="1"/>
  <c r="M47" i="1" s="1"/>
  <c r="DW20" i="1"/>
  <c r="CS8" i="2" l="1"/>
  <c r="CS10" i="2"/>
  <c r="CS7" i="2"/>
  <c r="CS9" i="2"/>
  <c r="DA8" i="2" l="1"/>
  <c r="DA10" i="2"/>
  <c r="DA9" i="2"/>
  <c r="DA7" i="2"/>
  <c r="M15" i="2" l="1"/>
  <c r="N15" i="2" s="1"/>
  <c r="AF7" i="2" l="1"/>
  <c r="N14" i="2"/>
  <c r="AE7" i="2" s="1"/>
  <c r="AG7" i="2"/>
  <c r="AM7" i="2"/>
  <c r="N13" i="2"/>
  <c r="P6" i="2"/>
  <c r="N12" i="2"/>
  <c r="P42" i="2"/>
  <c r="AL7" i="2" l="1"/>
  <c r="AE20" i="2" s="1"/>
  <c r="AJ20" i="2" s="1"/>
  <c r="AE24" i="2" l="1"/>
  <c r="AI24" i="2" s="1"/>
  <c r="AE21" i="2"/>
  <c r="AH21" i="2" s="1"/>
  <c r="AE22" i="2"/>
  <c r="AI22" i="2" s="1"/>
  <c r="AE23" i="2"/>
  <c r="AI23" i="2" s="1"/>
  <c r="AE25" i="2"/>
  <c r="AF20" i="2"/>
  <c r="AI20" i="2"/>
  <c r="AH20" i="2"/>
  <c r="AG20" i="2"/>
  <c r="AD20" i="2"/>
  <c r="AF21" i="2" l="1"/>
  <c r="AG23" i="2"/>
  <c r="AI21" i="2"/>
  <c r="AD21" i="2"/>
  <c r="AH23" i="2"/>
  <c r="AJ21" i="2"/>
  <c r="AD24" i="2"/>
  <c r="AG22" i="2"/>
  <c r="AJ24" i="2"/>
  <c r="AF24" i="2"/>
  <c r="AH24" i="2"/>
  <c r="AG24" i="2"/>
  <c r="AH22" i="2"/>
  <c r="AD23" i="2"/>
  <c r="AJ23" i="2"/>
  <c r="AF23" i="2"/>
  <c r="AG21" i="2"/>
  <c r="AF25" i="2"/>
  <c r="AI25" i="2"/>
  <c r="AD22" i="2"/>
  <c r="AZ46" i="2" s="1"/>
  <c r="AJ22" i="2"/>
  <c r="AF22" i="2"/>
  <c r="AG25" i="2"/>
  <c r="AD25" i="2"/>
  <c r="AH25" i="2"/>
  <c r="AJ25" i="2"/>
  <c r="AZ49" i="2" l="1"/>
  <c r="AZ51" i="2"/>
  <c r="AZ48" i="2"/>
  <c r="AZ50" i="2"/>
  <c r="AZ47" i="2"/>
  <c r="AZ54" i="2" l="1"/>
  <c r="AS63" i="2" s="1"/>
  <c r="AU63" i="2" s="1"/>
  <c r="AU64" i="2" s="1"/>
  <c r="P20" i="2" s="1"/>
  <c r="AT63" i="2" l="1"/>
  <c r="AT64" i="2" s="1"/>
  <c r="P44" i="2" s="1"/>
  <c r="AW63" i="2"/>
  <c r="AW64" i="2" s="1"/>
  <c r="P14" i="2" s="1"/>
  <c r="AV63" i="2"/>
  <c r="AV64" i="2" s="1"/>
  <c r="P32" i="2" s="1"/>
  <c r="S33" i="2" s="1"/>
  <c r="S11" i="2"/>
</calcChain>
</file>

<file path=xl/comments1.xml><?xml version="1.0" encoding="utf-8"?>
<comments xmlns="http://schemas.openxmlformats.org/spreadsheetml/2006/main">
  <authors>
    <author>Arthur</author>
  </authors>
  <commentList>
    <comment ref="G4" authorId="0" shapeId="0">
      <text>
        <r>
          <rPr>
            <sz val="9"/>
            <color indexed="81"/>
            <rFont val="Tahoma"/>
            <family val="2"/>
          </rPr>
          <t xml:space="preserve">Cartons Jaunes : ils ne sont comptabilisés dans le classement qu'en cas d'extrême égalité
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 xml:space="preserve">Cartons Rouges : ils ne sont comptabilisés dans le classement qu'en cas d'extrême égalité
</t>
        </r>
      </text>
    </comment>
    <comment ref="I4" authorId="0" shapeId="0">
      <text>
        <r>
          <rPr>
            <sz val="9"/>
            <color indexed="81"/>
            <rFont val="Tahoma"/>
            <family val="2"/>
          </rPr>
          <t xml:space="preserve">Cartons Jaunes : ils ne sont comptabilisés dans le classement qu'en cas d'extrême égalité
</t>
        </r>
      </text>
    </comment>
    <comment ref="J4" authorId="0" shapeId="0">
      <text>
        <r>
          <rPr>
            <sz val="9"/>
            <color indexed="81"/>
            <rFont val="Tahoma"/>
            <family val="2"/>
          </rPr>
          <t xml:space="preserve">Cartons Rouges : ils ne sont comptabilisés dans le classement qu'en cas d'extrême égalité
</t>
        </r>
      </text>
    </comment>
    <comment ref="Q6" authorId="0" shapeId="0">
      <text>
        <r>
          <rPr>
            <b/>
            <sz val="12"/>
            <color indexed="81"/>
            <rFont val="Tahoma"/>
            <family val="2"/>
          </rPr>
          <t>25 Juin 15h00
Saint-Étienne</t>
        </r>
      </text>
    </comment>
    <comment ref="AH6" authorId="0" shapeId="0">
      <text>
        <r>
          <rPr>
            <b/>
            <sz val="9"/>
            <color indexed="81"/>
            <rFont val="Tahoma"/>
            <charset val="1"/>
          </rPr>
          <t>Nombre de cartons jaunes durant la phase finale</t>
        </r>
      </text>
    </comment>
    <comment ref="AI6" authorId="0" shapeId="0">
      <text>
        <r>
          <rPr>
            <b/>
            <sz val="9"/>
            <color indexed="81"/>
            <rFont val="Tahoma"/>
            <charset val="1"/>
          </rPr>
          <t>Nombre de cartons rouges durant la phase finale</t>
        </r>
      </text>
    </comment>
    <comment ref="T9" authorId="0" shapeId="0">
      <text>
        <r>
          <rPr>
            <b/>
            <sz val="12"/>
            <color indexed="81"/>
            <rFont val="Tahoma"/>
            <family val="2"/>
          </rPr>
          <t>30 Juin 21h00
Marseille</t>
        </r>
      </text>
    </comment>
    <comment ref="F11" authorId="0" shapeId="0">
      <text>
        <r>
          <rPr>
            <b/>
            <sz val="12"/>
            <color indexed="81"/>
            <rFont val="Tahoma"/>
            <family val="2"/>
          </rPr>
          <t>10 Juin 21h00
Saint-Denis</t>
        </r>
      </text>
    </comment>
    <comment ref="F12" authorId="0" shapeId="0">
      <text>
        <r>
          <rPr>
            <b/>
            <sz val="12"/>
            <color indexed="81"/>
            <rFont val="Tahoma"/>
            <family val="2"/>
          </rPr>
          <t>15 Juin 21h00
Marseille</t>
        </r>
      </text>
    </comment>
    <comment ref="Q12" authorId="0" shapeId="0">
      <text>
        <r>
          <rPr>
            <b/>
            <sz val="12"/>
            <color indexed="81"/>
            <rFont val="Tahoma"/>
            <family val="2"/>
          </rPr>
          <t>26 Juin 21h00
Toulouse</t>
        </r>
      </text>
    </comment>
    <comment ref="F13" authorId="0" shapeId="0">
      <text>
        <r>
          <rPr>
            <b/>
            <sz val="12"/>
            <color indexed="81"/>
            <rFont val="Tahoma"/>
            <family val="2"/>
          </rPr>
          <t>19 Juin 21h00
Lille</t>
        </r>
      </text>
    </comment>
    <comment ref="F14" authorId="0" shapeId="0">
      <text>
        <r>
          <rPr>
            <b/>
            <sz val="12"/>
            <color indexed="81"/>
            <rFont val="Tahoma"/>
            <family val="2"/>
          </rPr>
          <t>19 Juin 21h00
Lyon</t>
        </r>
      </text>
    </comment>
    <comment ref="F15" authorId="0" shapeId="0">
      <text>
        <r>
          <rPr>
            <b/>
            <sz val="12"/>
            <color indexed="81"/>
            <rFont val="Tahoma"/>
            <family val="2"/>
          </rPr>
          <t>15 Juin 18h00
Paris</t>
        </r>
      </text>
    </comment>
    <comment ref="W15" authorId="0" shapeId="0">
      <text>
        <r>
          <rPr>
            <b/>
            <sz val="12"/>
            <color indexed="81"/>
            <rFont val="Tahoma"/>
            <family val="2"/>
          </rPr>
          <t>6 Juillet 21h00
Lyon</t>
        </r>
      </text>
    </comment>
    <comment ref="F16" authorId="0" shapeId="0">
      <text>
        <r>
          <rPr>
            <b/>
            <sz val="12"/>
            <color indexed="81"/>
            <rFont val="Tahoma"/>
            <family val="2"/>
          </rPr>
          <t>11 Juin 15h00
Lens</t>
        </r>
      </text>
    </comment>
    <comment ref="F17" authorId="0" shapeId="0">
      <text>
        <r>
          <rPr>
            <b/>
            <sz val="12"/>
            <color indexed="81"/>
            <rFont val="Tahoma"/>
            <family val="2"/>
          </rPr>
          <t>11 Juin 21h00
Marseille</t>
        </r>
      </text>
    </comment>
    <comment ref="F18" authorId="0" shapeId="0">
      <text>
        <r>
          <rPr>
            <b/>
            <sz val="12"/>
            <color indexed="81"/>
            <rFont val="Tahoma"/>
            <family val="2"/>
          </rPr>
          <t>16 Juin 15h00
Lens</t>
        </r>
      </text>
    </comment>
    <comment ref="Q18" authorId="0" shapeId="0">
      <text>
        <r>
          <rPr>
            <b/>
            <sz val="12"/>
            <color indexed="81"/>
            <rFont val="Tahoma"/>
            <family val="2"/>
          </rPr>
          <t>25 Juin 18h00
Paris</t>
        </r>
      </text>
    </comment>
    <comment ref="F19" authorId="0" shapeId="0">
      <text>
        <r>
          <rPr>
            <b/>
            <sz val="12"/>
            <color indexed="81"/>
            <rFont val="Tahoma"/>
            <family val="2"/>
          </rPr>
          <t>20 Juin 21h00
Saint-Étienne</t>
        </r>
      </text>
    </comment>
    <comment ref="AI19" authorId="0" shapeId="0">
      <text>
        <r>
          <rPr>
            <b/>
            <sz val="9"/>
            <color indexed="81"/>
            <rFont val="Tahoma"/>
            <charset val="1"/>
          </rPr>
          <t>Nombre de cartons jaunes durant la phase finale</t>
        </r>
      </text>
    </comment>
    <comment ref="AJ19" authorId="0" shapeId="0">
      <text>
        <r>
          <rPr>
            <b/>
            <sz val="9"/>
            <color indexed="81"/>
            <rFont val="Tahoma"/>
            <charset val="1"/>
          </rPr>
          <t>Nombre de cartons rouges durant la phase finale</t>
        </r>
      </text>
    </comment>
    <comment ref="F20" authorId="0" shapeId="0">
      <text>
        <r>
          <rPr>
            <b/>
            <sz val="12"/>
            <color indexed="81"/>
            <rFont val="Tahoma"/>
            <family val="2"/>
          </rPr>
          <t>20 Juin 21h00
Toulouse</t>
        </r>
      </text>
    </comment>
    <comment ref="F21" authorId="0" shapeId="0">
      <text>
        <r>
          <rPr>
            <b/>
            <sz val="12"/>
            <color indexed="81"/>
            <rFont val="Tahoma"/>
            <family val="2"/>
          </rPr>
          <t>15 Juin 15h00
Lille</t>
        </r>
      </text>
    </comment>
    <comment ref="T21" authorId="0" shapeId="0">
      <text>
        <r>
          <rPr>
            <b/>
            <sz val="12"/>
            <color indexed="81"/>
            <rFont val="Tahoma"/>
            <family val="2"/>
          </rPr>
          <t>1</t>
        </r>
        <r>
          <rPr>
            <b/>
            <vertAlign val="superscript"/>
            <sz val="12"/>
            <color indexed="81"/>
            <rFont val="Tahoma"/>
            <family val="2"/>
          </rPr>
          <t>er</t>
        </r>
        <r>
          <rPr>
            <b/>
            <sz val="12"/>
            <color indexed="81"/>
            <rFont val="Tahoma"/>
            <family val="2"/>
          </rPr>
          <t xml:space="preserve"> Juillet 21h00
Lille</t>
        </r>
      </text>
    </comment>
    <comment ref="F22" authorId="0" shapeId="0">
      <text>
        <r>
          <rPr>
            <b/>
            <sz val="12"/>
            <color indexed="81"/>
            <rFont val="Tahoma"/>
            <family val="2"/>
          </rPr>
          <t>11 Juin 18h00
Bordeaux</t>
        </r>
      </text>
    </comment>
    <comment ref="F23" authorId="0" shapeId="0">
      <text>
        <r>
          <rPr>
            <b/>
            <sz val="12"/>
            <color indexed="81"/>
            <rFont val="Tahoma"/>
            <family val="2"/>
          </rPr>
          <t>12 Juin 21h00
Lille</t>
        </r>
      </text>
    </comment>
    <comment ref="F24" authorId="0" shapeId="0">
      <text>
        <r>
          <rPr>
            <b/>
            <sz val="12"/>
            <color indexed="81"/>
            <rFont val="Tahoma"/>
            <family val="2"/>
          </rPr>
          <t>16 Juin 21h00
Saint-Denis</t>
        </r>
      </text>
    </comment>
    <comment ref="Q24" authorId="0" shapeId="0">
      <text>
        <r>
          <rPr>
            <b/>
            <sz val="12"/>
            <color indexed="81"/>
            <rFont val="Tahoma"/>
            <family val="2"/>
          </rPr>
          <t>26 Juin 21h00
Toulouse</t>
        </r>
      </text>
    </comment>
    <comment ref="F25" authorId="0" shapeId="0">
      <text>
        <r>
          <rPr>
            <b/>
            <sz val="12"/>
            <color indexed="81"/>
            <rFont val="Tahoma"/>
            <family val="2"/>
          </rPr>
          <t>21 Juin 18h00
Paris</t>
        </r>
      </text>
    </comment>
    <comment ref="F26" authorId="0" shapeId="0">
      <text>
        <r>
          <rPr>
            <b/>
            <sz val="12"/>
            <color indexed="81"/>
            <rFont val="Tahoma"/>
            <family val="2"/>
          </rPr>
          <t>21 Juin 18h00
Marseille</t>
        </r>
      </text>
    </comment>
    <comment ref="F27" authorId="0" shapeId="0">
      <text>
        <r>
          <rPr>
            <b/>
            <sz val="12"/>
            <color indexed="81"/>
            <rFont val="Tahoma"/>
            <family val="2"/>
          </rPr>
          <t>16 Juin 18h00
Lyon</t>
        </r>
      </text>
    </comment>
    <comment ref="Z27" authorId="0" shapeId="0">
      <text>
        <r>
          <rPr>
            <b/>
            <sz val="12"/>
            <color indexed="81"/>
            <rFont val="Tahoma"/>
            <family val="2"/>
          </rPr>
          <t>10 Juillet 21h00
Saint-Denis</t>
        </r>
      </text>
    </comment>
    <comment ref="F28" authorId="0" shapeId="0">
      <text>
        <r>
          <rPr>
            <b/>
            <sz val="12"/>
            <color indexed="81"/>
            <rFont val="Tahoma"/>
            <family val="2"/>
          </rPr>
          <t>12 Juin 18h00
Nice</t>
        </r>
      </text>
    </comment>
    <comment ref="F29" authorId="0" shapeId="0">
      <text>
        <r>
          <rPr>
            <b/>
            <sz val="12"/>
            <color indexed="81"/>
            <rFont val="Tahoma"/>
            <family val="2"/>
          </rPr>
          <t>13 Juin 15h00
Toulouse</t>
        </r>
      </text>
    </comment>
    <comment ref="F30" authorId="0" shapeId="0">
      <text>
        <r>
          <rPr>
            <b/>
            <sz val="12"/>
            <color indexed="81"/>
            <rFont val="Tahoma"/>
            <family val="2"/>
          </rPr>
          <t>17 Juin 21h00
Nice</t>
        </r>
      </text>
    </comment>
    <comment ref="Q30" authorId="0" shapeId="0">
      <text>
        <r>
          <rPr>
            <b/>
            <sz val="12"/>
            <color indexed="81"/>
            <rFont val="Tahoma"/>
            <family val="2"/>
          </rPr>
          <t>26 Juin 18h00
Lille</t>
        </r>
      </text>
    </comment>
    <comment ref="F31" authorId="0" shapeId="0">
      <text>
        <r>
          <rPr>
            <b/>
            <sz val="12"/>
            <color indexed="81"/>
            <rFont val="Tahoma"/>
            <family val="2"/>
          </rPr>
          <t>21 Juin 21h00
Bordeaux</t>
        </r>
      </text>
    </comment>
    <comment ref="F32" authorId="0" shapeId="0">
      <text>
        <r>
          <rPr>
            <b/>
            <sz val="12"/>
            <color indexed="81"/>
            <rFont val="Tahoma"/>
            <family val="2"/>
          </rPr>
          <t>21 Juin 21h00
Lens</t>
        </r>
      </text>
    </comment>
    <comment ref="F33" authorId="0" shapeId="0">
      <text>
        <r>
          <rPr>
            <b/>
            <sz val="12"/>
            <color indexed="81"/>
            <rFont val="Tahoma"/>
            <family val="2"/>
          </rPr>
          <t>17 Juin 18h00
Saint-Étienne</t>
        </r>
      </text>
    </comment>
    <comment ref="T33" authorId="0" shapeId="0">
      <text>
        <r>
          <rPr>
            <b/>
            <sz val="12"/>
            <color indexed="81"/>
            <rFont val="Tahoma"/>
            <family val="2"/>
          </rPr>
          <t>2 Juillet 21h00
Bordeaux</t>
        </r>
      </text>
    </comment>
    <comment ref="F34" authorId="0" shapeId="0">
      <text>
        <r>
          <rPr>
            <b/>
            <sz val="12"/>
            <color indexed="81"/>
            <rFont val="Tahoma"/>
            <family val="2"/>
          </rPr>
          <t>12 Juin 15h00
Paris</t>
        </r>
      </text>
    </comment>
    <comment ref="F35" authorId="0" shapeId="0">
      <text>
        <r>
          <rPr>
            <b/>
            <sz val="12"/>
            <color indexed="81"/>
            <rFont val="Tahoma"/>
            <family val="2"/>
          </rPr>
          <t>13 Juin 21h00
Lyon</t>
        </r>
      </text>
    </comment>
    <comment ref="F36" authorId="0" shapeId="0">
      <text>
        <r>
          <rPr>
            <b/>
            <sz val="12"/>
            <color indexed="81"/>
            <rFont val="Tahoma"/>
            <family val="2"/>
          </rPr>
          <t>18 Juin 15h00
Bordeaux</t>
        </r>
      </text>
    </comment>
    <comment ref="Q36" authorId="0" shapeId="0">
      <text>
        <r>
          <rPr>
            <b/>
            <sz val="12"/>
            <color indexed="81"/>
            <rFont val="Tahoma"/>
            <family val="2"/>
          </rPr>
          <t>27 Juin 18h00
Saint-Denis</t>
        </r>
      </text>
    </comment>
    <comment ref="F37" authorId="0" shapeId="0">
      <text>
        <r>
          <rPr>
            <b/>
            <sz val="12"/>
            <color indexed="81"/>
            <rFont val="Tahoma"/>
            <family val="2"/>
          </rPr>
          <t>22 Juin 21h00
Nice</t>
        </r>
      </text>
    </comment>
    <comment ref="F38" authorId="0" shapeId="0">
      <text>
        <r>
          <rPr>
            <b/>
            <sz val="12"/>
            <color indexed="81"/>
            <rFont val="Tahoma"/>
            <family val="2"/>
          </rPr>
          <t>22 Juin 21h00
Lille</t>
        </r>
      </text>
    </comment>
    <comment ref="F39" authorId="0" shapeId="0">
      <text>
        <r>
          <rPr>
            <b/>
            <sz val="12"/>
            <color indexed="81"/>
            <rFont val="Tahoma"/>
            <family val="2"/>
          </rPr>
          <t>17 Juin 15h00
Toulouse</t>
        </r>
      </text>
    </comment>
    <comment ref="W39" authorId="0" shapeId="0">
      <text>
        <r>
          <rPr>
            <b/>
            <sz val="12"/>
            <color indexed="81"/>
            <rFont val="Tahoma"/>
            <family val="2"/>
          </rPr>
          <t>7 Juillet 21h00
Marseille</t>
        </r>
      </text>
    </comment>
    <comment ref="F40" authorId="0" shapeId="0">
      <text>
        <r>
          <rPr>
            <b/>
            <sz val="12"/>
            <color indexed="81"/>
            <rFont val="Tahoma"/>
            <family val="2"/>
          </rPr>
          <t>13 Juin 18h00
Saint-Denis</t>
        </r>
      </text>
    </comment>
    <comment ref="F41" authorId="0" shapeId="0">
      <text>
        <r>
          <rPr>
            <b/>
            <sz val="12"/>
            <color indexed="81"/>
            <rFont val="Tahoma"/>
            <family val="2"/>
          </rPr>
          <t>14 Juin 21h00
Saint-Étienne</t>
        </r>
      </text>
    </comment>
    <comment ref="F42" authorId="0" shapeId="0">
      <text>
        <r>
          <rPr>
            <b/>
            <sz val="12"/>
            <color indexed="81"/>
            <rFont val="Tahoma"/>
            <family val="2"/>
          </rPr>
          <t>18 Juin 21h00
Paris</t>
        </r>
      </text>
    </comment>
    <comment ref="Q42" authorId="0" shapeId="0">
      <text>
        <r>
          <rPr>
            <b/>
            <sz val="12"/>
            <color indexed="81"/>
            <rFont val="Tahoma"/>
            <family val="2"/>
          </rPr>
          <t>26 Juin 15h00
Lyon</t>
        </r>
      </text>
    </comment>
    <comment ref="F43" authorId="0" shapeId="0">
      <text>
        <r>
          <rPr>
            <b/>
            <sz val="12"/>
            <color indexed="81"/>
            <rFont val="Tahoma"/>
            <family val="2"/>
          </rPr>
          <t>22 Juin 18h00
Lyon</t>
        </r>
      </text>
    </comment>
    <comment ref="F44" authorId="0" shapeId="0">
      <text>
        <r>
          <rPr>
            <b/>
            <sz val="12"/>
            <color indexed="81"/>
            <rFont val="Tahoma"/>
            <family val="2"/>
          </rPr>
          <t>22 Juin 18h00
Saint-Denis</t>
        </r>
      </text>
    </comment>
    <comment ref="F45" authorId="0" shapeId="0">
      <text>
        <r>
          <rPr>
            <b/>
            <sz val="12"/>
            <color indexed="81"/>
            <rFont val="Tahoma"/>
            <family val="2"/>
          </rPr>
          <t>18 Juin 18h00
Marseille</t>
        </r>
      </text>
    </comment>
    <comment ref="T45" authorId="0" shapeId="0">
      <text>
        <r>
          <rPr>
            <b/>
            <sz val="12"/>
            <color indexed="81"/>
            <rFont val="Tahoma"/>
            <family val="2"/>
          </rPr>
          <t>3 Juillet 21h00
Saint-Denis</t>
        </r>
      </text>
    </comment>
    <comment ref="F46" authorId="0" shapeId="0">
      <text>
        <r>
          <rPr>
            <b/>
            <sz val="12"/>
            <color indexed="81"/>
            <rFont val="Tahoma"/>
            <family val="2"/>
          </rPr>
          <t>14 Juin 18h00
Bordeaux</t>
        </r>
      </text>
    </comment>
    <comment ref="Q48" authorId="0" shapeId="0">
      <text>
        <r>
          <rPr>
            <b/>
            <sz val="12"/>
            <color indexed="81"/>
            <rFont val="Tahoma"/>
            <family val="2"/>
          </rPr>
          <t>27 Juin 21h00
Nice</t>
        </r>
      </text>
    </comment>
  </commentList>
</comments>
</file>

<file path=xl/sharedStrings.xml><?xml version="1.0" encoding="utf-8"?>
<sst xmlns="http://schemas.openxmlformats.org/spreadsheetml/2006/main" count="751" uniqueCount="207">
  <si>
    <t>Groupe A</t>
  </si>
  <si>
    <t>Groupe B</t>
  </si>
  <si>
    <t>Groupe C</t>
  </si>
  <si>
    <t>Groupe D</t>
  </si>
  <si>
    <t>Groupe E</t>
  </si>
  <si>
    <t>Groupe F</t>
  </si>
  <si>
    <t>Groupe G</t>
  </si>
  <si>
    <t>Groupe H</t>
  </si>
  <si>
    <t>Groupe I</t>
  </si>
  <si>
    <t>2-0</t>
  </si>
  <si>
    <t>3-0</t>
  </si>
  <si>
    <t>6-0</t>
  </si>
  <si>
    <t>0-3</t>
  </si>
  <si>
    <t>0-0</t>
  </si>
  <si>
    <t>Kazakhstan</t>
  </si>
  <si>
    <t>Lettonie</t>
  </si>
  <si>
    <t>Turquie</t>
  </si>
  <si>
    <t>Pays-Bas</t>
  </si>
  <si>
    <t>Islande</t>
  </si>
  <si>
    <t>R. tchèque</t>
  </si>
  <si>
    <t>▼ dom ► ext</t>
  </si>
  <si>
    <t>2-4</t>
  </si>
  <si>
    <t>1-2</t>
  </si>
  <si>
    <t>2-1</t>
  </si>
  <si>
    <t>1-1</t>
  </si>
  <si>
    <t>3-1</t>
  </si>
  <si>
    <t>2-2</t>
  </si>
  <si>
    <t>1-3</t>
  </si>
  <si>
    <t>0-4</t>
  </si>
  <si>
    <t>0-1</t>
  </si>
  <si>
    <t>3-2</t>
  </si>
  <si>
    <t>1-4</t>
  </si>
  <si>
    <t>0-2</t>
  </si>
  <si>
    <t>0-7</t>
  </si>
  <si>
    <t>Israël</t>
  </si>
  <si>
    <t>Pays de Galles</t>
  </si>
  <si>
    <t>Belgique</t>
  </si>
  <si>
    <t>Chypre</t>
  </si>
  <si>
    <t>Andorre</t>
  </si>
  <si>
    <t>5-1</t>
  </si>
  <si>
    <t>1-0</t>
  </si>
  <si>
    <t>Slovaquie</t>
  </si>
  <si>
    <t>Espagne</t>
  </si>
  <si>
    <t>Ukraine</t>
  </si>
  <si>
    <t>Macédoine</t>
  </si>
  <si>
    <t>Biélorussie</t>
  </si>
  <si>
    <t>Luxembourg</t>
  </si>
  <si>
    <t>Pologne</t>
  </si>
  <si>
    <t>Allemagne</t>
  </si>
  <si>
    <t>Écosse</t>
  </si>
  <si>
    <t>Irlande</t>
  </si>
  <si>
    <t>Géorgie</t>
  </si>
  <si>
    <t>Gibraltar</t>
  </si>
  <si>
    <t>4-0</t>
  </si>
  <si>
    <t>Angleterre</t>
  </si>
  <si>
    <t>Slovénie</t>
  </si>
  <si>
    <t>Lituanie</t>
  </si>
  <si>
    <t>Suisse</t>
  </si>
  <si>
    <t>Estonie</t>
  </si>
  <si>
    <t>Saint-Marrin</t>
  </si>
  <si>
    <t>5-0</t>
  </si>
  <si>
    <t>Irlande du Nord</t>
  </si>
  <si>
    <t>Roumanie</t>
  </si>
  <si>
    <t>Finlande</t>
  </si>
  <si>
    <t>Hongrie</t>
  </si>
  <si>
    <t>Grèce</t>
  </si>
  <si>
    <t>Îles Féroé</t>
  </si>
  <si>
    <t>Autriche</t>
  </si>
  <si>
    <t>Russie</t>
  </si>
  <si>
    <t>Suède</t>
  </si>
  <si>
    <t>Monténégro</t>
  </si>
  <si>
    <t>Moldavie</t>
  </si>
  <si>
    <t>Liechtenstein</t>
  </si>
  <si>
    <t>Italie</t>
  </si>
  <si>
    <t>Croatie</t>
  </si>
  <si>
    <t>Norvège</t>
  </si>
  <si>
    <t>Bulgarie</t>
  </si>
  <si>
    <t>Malte</t>
  </si>
  <si>
    <t>Azerbaïdjan</t>
  </si>
  <si>
    <t>Danemark</t>
  </si>
  <si>
    <t>Portugal</t>
  </si>
  <si>
    <t>Albanie</t>
  </si>
  <si>
    <t>Serbie</t>
  </si>
  <si>
    <t>Arménie</t>
  </si>
  <si>
    <t>Matchs</t>
  </si>
  <si>
    <t>Barrages</t>
  </si>
  <si>
    <t>Pays</t>
  </si>
  <si>
    <t>Gagnant</t>
  </si>
  <si>
    <t>Résultat</t>
  </si>
  <si>
    <t>24 Équipes qualifiées</t>
  </si>
  <si>
    <t>Buts Marqués</t>
  </si>
  <si>
    <t>Buts Dom</t>
  </si>
  <si>
    <t>Buts Ext</t>
  </si>
  <si>
    <t>Buts totaux</t>
  </si>
  <si>
    <t>Points</t>
  </si>
  <si>
    <t>France</t>
  </si>
  <si>
    <t>NB.SI</t>
  </si>
  <si>
    <t>Classement des Troisièmes</t>
  </si>
  <si>
    <t>Troisièmes</t>
  </si>
  <si>
    <t>N° Équipe</t>
  </si>
  <si>
    <t>Meilleur 3e</t>
  </si>
  <si>
    <t>BP</t>
  </si>
  <si>
    <t>BC</t>
  </si>
  <si>
    <t>Total</t>
  </si>
  <si>
    <t>Différence de Buts</t>
  </si>
  <si>
    <t>BP (Ext)</t>
  </si>
  <si>
    <t>Calcul du meilleur Troisièmes (Critères de Gauche à droite)</t>
  </si>
  <si>
    <t>Groupes</t>
  </si>
  <si>
    <t>Vainqueur</t>
  </si>
  <si>
    <t>Résultats des Poules</t>
  </si>
  <si>
    <t>⅛ de Finale</t>
  </si>
  <si>
    <t>¼ de Finale</t>
  </si>
  <si>
    <r>
      <rPr>
        <sz val="11"/>
        <color theme="1"/>
        <rFont val="Calibri"/>
        <family val="2"/>
      </rPr>
      <t>½</t>
    </r>
    <r>
      <rPr>
        <sz val="11"/>
        <color theme="1"/>
        <rFont val="Calibri"/>
        <family val="2"/>
        <scheme val="minor"/>
      </rPr>
      <t xml:space="preserve"> Finale</t>
    </r>
  </si>
  <si>
    <t>Finales</t>
  </si>
  <si>
    <t>A</t>
  </si>
  <si>
    <t>Place</t>
  </si>
  <si>
    <t>Points en tout</t>
  </si>
  <si>
    <t>B</t>
  </si>
  <si>
    <t>C</t>
  </si>
  <si>
    <t>D</t>
  </si>
  <si>
    <t>E</t>
  </si>
  <si>
    <t>F</t>
  </si>
  <si>
    <t>Phase Finale de l'Euro 2016</t>
  </si>
  <si>
    <t>Matchs de Qualification de l'Euro 2016</t>
  </si>
  <si>
    <t>Grande Finale</t>
  </si>
  <si>
    <t xml:space="preserve"> </t>
  </si>
  <si>
    <t>Troisièmes des 6 Groupes</t>
  </si>
  <si>
    <t>Équipes</t>
  </si>
  <si>
    <t>Rang</t>
  </si>
  <si>
    <t>Groupe</t>
  </si>
  <si>
    <t>4 Meilleurs Troisièmes Qualifiés</t>
  </si>
  <si>
    <t>Si les 4 meilleurs sont :</t>
  </si>
  <si>
    <t>ABCD</t>
  </si>
  <si>
    <t>ABCE</t>
  </si>
  <si>
    <t>ABCF</t>
  </si>
  <si>
    <t>ABDE</t>
  </si>
  <si>
    <t>ABDF</t>
  </si>
  <si>
    <t>ABEF</t>
  </si>
  <si>
    <t>ACDE</t>
  </si>
  <si>
    <t>ACDF</t>
  </si>
  <si>
    <t>ACEF</t>
  </si>
  <si>
    <t>ADEF</t>
  </si>
  <si>
    <t>BCDF</t>
  </si>
  <si>
    <t>BCDE</t>
  </si>
  <si>
    <t>BCEF</t>
  </si>
  <si>
    <t>BDEF</t>
  </si>
  <si>
    <t>CDEF</t>
  </si>
  <si>
    <t>1A joue contre le 3e du groupe :</t>
  </si>
  <si>
    <t>1B joue contre le 3e du groupe :</t>
  </si>
  <si>
    <t>1C joue contre le 3e du groupe :</t>
  </si>
  <si>
    <t>1D joue contre le 3e du groupe :</t>
  </si>
  <si>
    <t>4 Meilleurs</t>
  </si>
  <si>
    <t>I</t>
  </si>
  <si>
    <t>H</t>
  </si>
  <si>
    <t>G</t>
  </si>
  <si>
    <t>7-0</t>
  </si>
  <si>
    <t>0-5</t>
  </si>
  <si>
    <t>6-1</t>
  </si>
  <si>
    <t>2-3</t>
  </si>
  <si>
    <t>0-6</t>
  </si>
  <si>
    <t>8-1</t>
  </si>
  <si>
    <t>4-3</t>
  </si>
  <si>
    <t>Comparaison entre équipes</t>
  </si>
  <si>
    <t>Non joué</t>
  </si>
  <si>
    <t>Coup d'envoi</t>
  </si>
  <si>
    <t>Bosnie</t>
  </si>
  <si>
    <t>Mon adresse : destrutios78@hotmail.fr</t>
  </si>
  <si>
    <t>Dans la phase à élimination directe, si deux équipes sont à égalité même à l'issu des prolongations, celles-ci sont soumises à une séance de tirs aux buts. Pour ajouter les scores des tirs aux buts, entrer les scores et additionner à ces scores les résultats des tirs aux buts. Par exemple, entrez dans la case de la première équipe 1+5 et dans la case de la deuxième 1+4 (laissez sous la forme 1+4 et 1+5 pour plus de clarté)</t>
  </si>
  <si>
    <t>2A</t>
  </si>
  <si>
    <t>2C</t>
  </si>
  <si>
    <t>1D</t>
  </si>
  <si>
    <t>3B/E/F</t>
  </si>
  <si>
    <t>1B</t>
  </si>
  <si>
    <t>3A/C/D</t>
  </si>
  <si>
    <t>1F</t>
  </si>
  <si>
    <t>2E</t>
  </si>
  <si>
    <t>1C</t>
  </si>
  <si>
    <t>3A/B/F</t>
  </si>
  <si>
    <t>1E</t>
  </si>
  <si>
    <t>2D</t>
  </si>
  <si>
    <t>1A</t>
  </si>
  <si>
    <t>3C/D/E</t>
  </si>
  <si>
    <t>2B</t>
  </si>
  <si>
    <t>2F</t>
  </si>
  <si>
    <t>Somme points</t>
  </si>
  <si>
    <t>Somme BP</t>
  </si>
  <si>
    <t>Vainqueurs et perdants</t>
  </si>
  <si>
    <t>Classement total</t>
  </si>
  <si>
    <t>Points totaux</t>
  </si>
  <si>
    <t>En cas de problème ou de question sur cette application Excel, n'hésitez pas à m'envoyer un mail, et si le programme vous plaît, n'hésitez pas non plus à m'envoyer un mail de remerciement ou à faire un don sur ma page Tipeee de quelques Euros qui me permettrait de pouvoir créer plus fréquemment des applications Excel !</t>
  </si>
  <si>
    <t>Buts</t>
  </si>
  <si>
    <t>Paragraphe 18.01, critères e) et f)</t>
  </si>
  <si>
    <t>Comparaison entre les équipes à égalité (paragraphe 18.01, critères a) à c))</t>
  </si>
  <si>
    <t>Comparaison entre les équipes encore à égalité (paragraphe 18.01, critère d))</t>
  </si>
  <si>
    <t>Résumé des classements successifs</t>
  </si>
  <si>
    <t>Résultat :</t>
  </si>
  <si>
    <t>Les 4 meilleurs troisièmes ne sont placés dans les huitièmes de finale qu'une fois qu'il y en a au moins 4 dans le tableau ci-dessus</t>
  </si>
  <si>
    <t>CJ</t>
  </si>
  <si>
    <t>CR</t>
  </si>
  <si>
    <t>En cas d'égalité entre certains troisièmes même après comparaison du nombre de buts marqués, ce sont les cartons jaunes et rouges reçus par l'équipe durant la phase finale qui deviennent déterminants</t>
  </si>
  <si>
    <t>Cartons</t>
  </si>
  <si>
    <t>Paragraphe 18,01, critère g) (cartons)</t>
  </si>
  <si>
    <t>Jaunes</t>
  </si>
  <si>
    <t>Rouges</t>
  </si>
  <si>
    <t>Classement final</t>
  </si>
  <si>
    <t>1e égalité</t>
  </si>
  <si>
    <t>2e égalité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</si>
</sst>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indexed="81"/>
      <name val="Tahoma"/>
      <family val="2"/>
    </font>
    <font>
      <b/>
      <vertAlign val="superscript"/>
      <sz val="12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family val="2"/>
    </font>
  </fonts>
  <fills count="2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0FF80"/>
        <bgColor indexed="64"/>
      </patternFill>
    </fill>
    <fill>
      <patternFill patternType="solid">
        <fgColor rgb="FF808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7F00FF"/>
        <bgColor indexed="64"/>
      </patternFill>
    </fill>
    <fill>
      <patternFill patternType="solid">
        <fgColor rgb="FFFFC040"/>
        <bgColor indexed="64"/>
      </patternFill>
    </fill>
    <fill>
      <patternFill patternType="solid">
        <fgColor rgb="FFC040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7FFF7F"/>
        <bgColor indexed="64"/>
      </patternFill>
    </fill>
    <fill>
      <patternFill patternType="solid">
        <fgColor rgb="FF7F7FFF"/>
        <bgColor indexed="64"/>
      </patternFill>
    </fill>
    <fill>
      <patternFill patternType="solid">
        <fgColor rgb="FFFF7F7F"/>
        <bgColor indexed="64"/>
      </patternFill>
    </fill>
    <fill>
      <patternFill patternType="solid">
        <fgColor rgb="FFFF7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7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21FF"/>
        <bgColor indexed="64"/>
      </patternFill>
    </fill>
    <fill>
      <patternFill patternType="solid">
        <fgColor rgb="FF00BE00"/>
        <bgColor indexed="64"/>
      </patternFill>
    </fill>
    <fill>
      <patternFill patternType="solid">
        <fgColor rgb="FF964700"/>
        <bgColor indexed="64"/>
      </patternFill>
    </fill>
    <fill>
      <patternFill patternType="solid">
        <fgColor rgb="FFFF7401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Dot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44">
    <xf numFmtId="0" fontId="0" fillId="0" borderId="0" xfId="0"/>
    <xf numFmtId="49" fontId="0" fillId="0" borderId="0" xfId="0" applyNumberFormat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2" borderId="25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0" fontId="0" fillId="2" borderId="5" xfId="0" applyNumberFormat="1" applyFill="1" applyBorder="1" applyAlignment="1">
      <alignment horizontal="center" vertical="center"/>
    </xf>
    <xf numFmtId="0" fontId="0" fillId="2" borderId="32" xfId="0" applyNumberFormat="1" applyFill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0" fillId="0" borderId="35" xfId="0" applyNumberFormat="1" applyBorder="1" applyAlignment="1">
      <alignment horizontal="center" vertical="center"/>
    </xf>
    <xf numFmtId="0" fontId="0" fillId="0" borderId="36" xfId="0" applyNumberFormat="1" applyBorder="1" applyAlignment="1">
      <alignment horizontal="center" vertical="center"/>
    </xf>
    <xf numFmtId="0" fontId="0" fillId="0" borderId="37" xfId="0" applyNumberFormat="1" applyBorder="1" applyAlignment="1">
      <alignment horizontal="center" vertical="center"/>
    </xf>
    <xf numFmtId="0" fontId="0" fillId="0" borderId="41" xfId="0" applyNumberForma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5" xfId="0" quotePrefix="1" applyNumberFormat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0" fillId="0" borderId="0" xfId="0" quotePrefix="1" applyNumberForma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2" borderId="15" xfId="0" applyNumberFormat="1" applyFill="1" applyBorder="1" applyAlignment="1">
      <alignment horizontal="center" vertical="center"/>
    </xf>
    <xf numFmtId="0" fontId="0" fillId="2" borderId="16" xfId="0" applyNumberFormat="1" applyFill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/>
    </xf>
    <xf numFmtId="0" fontId="0" fillId="0" borderId="35" xfId="0" applyNumberFormat="1" applyFill="1" applyBorder="1" applyAlignment="1">
      <alignment horizontal="center" vertical="center"/>
    </xf>
    <xf numFmtId="0" fontId="0" fillId="2" borderId="36" xfId="0" applyNumberFormat="1" applyFill="1" applyBorder="1" applyAlignment="1">
      <alignment horizontal="center" vertical="center"/>
    </xf>
    <xf numFmtId="0" fontId="0" fillId="2" borderId="17" xfId="0" applyNumberFormat="1" applyFill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0" fontId="0" fillId="0" borderId="39" xfId="0" applyNumberFormat="1" applyBorder="1" applyAlignment="1">
      <alignment horizontal="center" vertical="center"/>
    </xf>
    <xf numFmtId="0" fontId="0" fillId="0" borderId="40" xfId="0" applyNumberFormat="1" applyBorder="1" applyAlignment="1">
      <alignment horizontal="center" vertical="center"/>
    </xf>
    <xf numFmtId="0" fontId="0" fillId="2" borderId="46" xfId="0" applyNumberFormat="1" applyFill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47" xfId="0" applyNumberFormat="1" applyBorder="1" applyAlignment="1">
      <alignment horizontal="center" vertical="center"/>
    </xf>
    <xf numFmtId="0" fontId="0" fillId="0" borderId="48" xfId="0" applyNumberFormat="1" applyBorder="1" applyAlignment="1">
      <alignment horizontal="center" vertical="center"/>
    </xf>
    <xf numFmtId="0" fontId="0" fillId="0" borderId="49" xfId="0" applyNumberFormat="1" applyBorder="1" applyAlignment="1">
      <alignment horizontal="center" vertical="center"/>
    </xf>
    <xf numFmtId="0" fontId="0" fillId="0" borderId="11" xfId="0" quotePrefix="1" applyNumberFormat="1" applyBorder="1" applyAlignment="1">
      <alignment horizontal="center" vertical="center"/>
    </xf>
    <xf numFmtId="0" fontId="0" fillId="0" borderId="12" xfId="0" quotePrefix="1" applyNumberFormat="1" applyBorder="1" applyAlignment="1">
      <alignment horizontal="center" vertical="center"/>
    </xf>
    <xf numFmtId="0" fontId="0" fillId="0" borderId="13" xfId="0" quotePrefix="1" applyNumberFormat="1" applyBorder="1" applyAlignment="1">
      <alignment horizontal="center" vertical="center"/>
    </xf>
    <xf numFmtId="0" fontId="0" fillId="0" borderId="50" xfId="0" applyNumberFormat="1" applyBorder="1" applyAlignment="1">
      <alignment horizontal="center" vertical="center"/>
    </xf>
    <xf numFmtId="0" fontId="0" fillId="0" borderId="51" xfId="0" applyNumberFormat="1" applyBorder="1" applyAlignment="1">
      <alignment horizontal="center" vertical="center"/>
    </xf>
    <xf numFmtId="0" fontId="0" fillId="0" borderId="5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40" xfId="0" applyNumberForma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2" borderId="9" xfId="0" applyNumberFormat="1" applyFill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2" borderId="52" xfId="0" applyNumberFormat="1" applyFill="1" applyBorder="1" applyAlignment="1">
      <alignment horizontal="center" vertical="center"/>
    </xf>
    <xf numFmtId="0" fontId="0" fillId="0" borderId="53" xfId="0" applyNumberFormat="1" applyBorder="1" applyAlignment="1">
      <alignment horizontal="center" vertical="center"/>
    </xf>
    <xf numFmtId="0" fontId="0" fillId="0" borderId="54" xfId="0" applyNumberFormat="1" applyBorder="1" applyAlignment="1">
      <alignment horizontal="center" vertical="center"/>
    </xf>
    <xf numFmtId="0" fontId="0" fillId="0" borderId="55" xfId="0" applyNumberFormat="1" applyBorder="1" applyAlignment="1">
      <alignment horizontal="center" vertical="center"/>
    </xf>
    <xf numFmtId="0" fontId="0" fillId="2" borderId="43" xfId="0" applyNumberFormat="1" applyFill="1" applyBorder="1" applyAlignment="1">
      <alignment horizontal="center" vertical="center"/>
    </xf>
    <xf numFmtId="0" fontId="0" fillId="0" borderId="34" xfId="0" quotePrefix="1" applyNumberFormat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0" fontId="0" fillId="0" borderId="56" xfId="0" applyNumberFormat="1" applyBorder="1" applyAlignment="1">
      <alignment horizontal="center" vertical="center"/>
    </xf>
    <xf numFmtId="0" fontId="0" fillId="0" borderId="57" xfId="0" applyNumberFormat="1" applyBorder="1" applyAlignment="1">
      <alignment horizontal="center" vertical="center"/>
    </xf>
    <xf numFmtId="0" fontId="0" fillId="0" borderId="60" xfId="0" applyNumberFormat="1" applyBorder="1" applyAlignment="1">
      <alignment horizontal="center" vertical="center"/>
    </xf>
    <xf numFmtId="0" fontId="0" fillId="2" borderId="45" xfId="0" applyNumberFormat="1" applyFill="1" applyBorder="1" applyAlignment="1">
      <alignment horizontal="center" vertical="center"/>
    </xf>
    <xf numFmtId="0" fontId="0" fillId="0" borderId="37" xfId="0" quotePrefix="1" applyNumberFormat="1" applyBorder="1" applyAlignment="1">
      <alignment horizontal="center" vertical="center"/>
    </xf>
    <xf numFmtId="0" fontId="0" fillId="0" borderId="32" xfId="0" quotePrefix="1" applyNumberForma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15" xfId="0" applyNumberFormat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6" borderId="0" xfId="0" quotePrefix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12" xfId="0" quotePrefix="1" applyFill="1" applyBorder="1" applyAlignment="1">
      <alignment horizontal="center" vertical="center"/>
    </xf>
    <xf numFmtId="0" fontId="0" fillId="7" borderId="13" xfId="0" quotePrefix="1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0" fontId="0" fillId="8" borderId="12" xfId="0" quotePrefix="1" applyFill="1" applyBorder="1" applyAlignment="1">
      <alignment horizontal="center" vertical="center"/>
    </xf>
    <xf numFmtId="0" fontId="0" fillId="8" borderId="13" xfId="0" quotePrefix="1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59" xfId="0" applyFill="1" applyBorder="1" applyAlignment="1">
      <alignment horizontal="center" vertical="center"/>
    </xf>
    <xf numFmtId="0" fontId="0" fillId="11" borderId="21" xfId="0" applyFill="1" applyBorder="1" applyAlignment="1">
      <alignment horizontal="center" vertical="center"/>
    </xf>
    <xf numFmtId="0" fontId="0" fillId="11" borderId="63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11" borderId="58" xfId="0" applyFill="1" applyBorder="1" applyAlignment="1">
      <alignment horizontal="center" vertical="center"/>
    </xf>
    <xf numFmtId="0" fontId="0" fillId="11" borderId="12" xfId="0" quotePrefix="1" applyFill="1" applyBorder="1" applyAlignment="1">
      <alignment horizontal="center" vertical="center"/>
    </xf>
    <xf numFmtId="0" fontId="0" fillId="9" borderId="14" xfId="0" quotePrefix="1" applyFill="1" applyBorder="1" applyAlignment="1">
      <alignment horizontal="center" vertical="center"/>
    </xf>
    <xf numFmtId="0" fontId="0" fillId="9" borderId="12" xfId="0" quotePrefix="1" applyFill="1" applyBorder="1" applyAlignment="1">
      <alignment horizontal="center" vertical="center"/>
    </xf>
    <xf numFmtId="0" fontId="0" fillId="11" borderId="13" xfId="0" quotePrefix="1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11" borderId="59" xfId="0" applyFill="1" applyBorder="1" applyAlignment="1">
      <alignment horizontal="center" vertical="center"/>
    </xf>
    <xf numFmtId="0" fontId="0" fillId="12" borderId="16" xfId="0" applyFill="1" applyBorder="1" applyAlignment="1">
      <alignment horizontal="center" vertical="center"/>
    </xf>
    <xf numFmtId="0" fontId="0" fillId="12" borderId="57" xfId="0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/>
    </xf>
    <xf numFmtId="0" fontId="0" fillId="12" borderId="58" xfId="0" applyFill="1" applyBorder="1" applyAlignment="1">
      <alignment horizontal="center" vertical="center"/>
    </xf>
    <xf numFmtId="0" fontId="0" fillId="12" borderId="12" xfId="0" quotePrefix="1" applyFill="1" applyBorder="1" applyAlignment="1">
      <alignment horizontal="center" vertical="center"/>
    </xf>
    <xf numFmtId="0" fontId="0" fillId="10" borderId="14" xfId="0" quotePrefix="1" applyFill="1" applyBorder="1" applyAlignment="1">
      <alignment horizontal="center" vertical="center"/>
    </xf>
    <xf numFmtId="0" fontId="0" fillId="10" borderId="12" xfId="0" quotePrefix="1" applyFill="1" applyBorder="1" applyAlignment="1">
      <alignment horizontal="center" vertical="center"/>
    </xf>
    <xf numFmtId="0" fontId="0" fillId="12" borderId="13" xfId="0" quotePrefix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12" borderId="44" xfId="0" applyFill="1" applyBorder="1" applyAlignment="1">
      <alignment horizontal="center" vertical="center"/>
    </xf>
    <xf numFmtId="0" fontId="0" fillId="12" borderId="64" xfId="0" applyFill="1" applyBorder="1" applyAlignment="1">
      <alignment horizontal="center" vertical="center"/>
    </xf>
    <xf numFmtId="0" fontId="0" fillId="14" borderId="21" xfId="0" applyFill="1" applyBorder="1" applyAlignment="1">
      <alignment horizontal="center" vertical="center"/>
    </xf>
    <xf numFmtId="0" fontId="0" fillId="14" borderId="63" xfId="0" applyFill="1" applyBorder="1" applyAlignment="1">
      <alignment horizontal="center" vertical="center"/>
    </xf>
    <xf numFmtId="0" fontId="0" fillId="14" borderId="2" xfId="0" applyFill="1" applyBorder="1" applyAlignment="1">
      <alignment horizontal="center" vertical="center"/>
    </xf>
    <xf numFmtId="0" fontId="0" fillId="14" borderId="58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14" borderId="12" xfId="0" applyFill="1" applyBorder="1" applyAlignment="1">
      <alignment horizontal="center" vertical="center"/>
    </xf>
    <xf numFmtId="0" fontId="0" fillId="14" borderId="13" xfId="0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0" fillId="14" borderId="59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0" fillId="15" borderId="58" xfId="0" applyFill="1" applyBorder="1" applyAlignment="1">
      <alignment horizontal="center" vertical="center"/>
    </xf>
    <xf numFmtId="0" fontId="0" fillId="15" borderId="12" xfId="0" quotePrefix="1" applyFill="1" applyBorder="1" applyAlignment="1">
      <alignment horizontal="center" vertical="center"/>
    </xf>
    <xf numFmtId="0" fontId="0" fillId="3" borderId="14" xfId="0" quotePrefix="1" applyFill="1" applyBorder="1" applyAlignment="1">
      <alignment horizontal="center" vertical="center"/>
    </xf>
    <xf numFmtId="0" fontId="0" fillId="3" borderId="12" xfId="0" quotePrefix="1" applyFill="1" applyBorder="1" applyAlignment="1">
      <alignment horizontal="center" vertical="center"/>
    </xf>
    <xf numFmtId="0" fontId="0" fillId="15" borderId="13" xfId="0" quotePrefix="1" applyFill="1" applyBorder="1" applyAlignment="1">
      <alignment horizontal="center" vertical="center"/>
    </xf>
    <xf numFmtId="0" fontId="0" fillId="15" borderId="4" xfId="0" applyFill="1" applyBorder="1" applyAlignment="1">
      <alignment horizontal="center" vertical="center"/>
    </xf>
    <xf numFmtId="0" fontId="0" fillId="6" borderId="30" xfId="0" quotePrefix="1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57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49" fontId="0" fillId="16" borderId="21" xfId="0" applyNumberFormat="1" applyFill="1" applyBorder="1" applyAlignment="1">
      <alignment horizontal="center" vertical="center"/>
    </xf>
    <xf numFmtId="49" fontId="0" fillId="17" borderId="16" xfId="0" applyNumberFormat="1" applyFill="1" applyBorder="1" applyAlignment="1">
      <alignment horizontal="center" vertical="center"/>
    </xf>
    <xf numFmtId="49" fontId="0" fillId="17" borderId="17" xfId="0" applyNumberFormat="1" applyFill="1" applyBorder="1" applyAlignment="1">
      <alignment horizontal="center" vertical="center"/>
    </xf>
    <xf numFmtId="49" fontId="0" fillId="17" borderId="9" xfId="0" applyNumberFormat="1" applyFill="1" applyBorder="1" applyAlignment="1">
      <alignment horizontal="center" vertical="center"/>
    </xf>
    <xf numFmtId="49" fontId="0" fillId="17" borderId="2" xfId="0" applyNumberFormat="1" applyFill="1" applyBorder="1" applyAlignment="1">
      <alignment horizontal="center" vertical="center"/>
    </xf>
    <xf numFmtId="49" fontId="0" fillId="17" borderId="3" xfId="0" applyNumberFormat="1" applyFill="1" applyBorder="1" applyAlignment="1">
      <alignment horizontal="center" vertical="center"/>
    </xf>
    <xf numFmtId="49" fontId="0" fillId="17" borderId="10" xfId="0" applyNumberFormat="1" applyFill="1" applyBorder="1" applyAlignment="1">
      <alignment horizontal="center" vertical="center"/>
    </xf>
    <xf numFmtId="49" fontId="0" fillId="17" borderId="4" xfId="0" applyNumberForma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/>
    </xf>
    <xf numFmtId="49" fontId="0" fillId="11" borderId="2" xfId="0" applyNumberFormat="1" applyFill="1" applyBorder="1" applyAlignment="1">
      <alignment horizontal="center" vertical="center"/>
    </xf>
    <xf numFmtId="49" fontId="0" fillId="11" borderId="3" xfId="0" applyNumberFormat="1" applyFill="1" applyBorder="1" applyAlignment="1">
      <alignment horizontal="center" vertical="center"/>
    </xf>
    <xf numFmtId="49" fontId="0" fillId="11" borderId="16" xfId="0" applyNumberFormat="1" applyFill="1" applyBorder="1" applyAlignment="1">
      <alignment horizontal="center" vertical="center"/>
    </xf>
    <xf numFmtId="49" fontId="0" fillId="11" borderId="17" xfId="0" applyNumberFormat="1" applyFill="1" applyBorder="1" applyAlignment="1">
      <alignment horizontal="center" vertical="center"/>
    </xf>
    <xf numFmtId="49" fontId="0" fillId="11" borderId="9" xfId="0" applyNumberFormat="1" applyFill="1" applyBorder="1" applyAlignment="1">
      <alignment horizontal="center" vertical="center"/>
    </xf>
    <xf numFmtId="49" fontId="0" fillId="11" borderId="45" xfId="0" applyNumberFormat="1" applyFill="1" applyBorder="1" applyAlignment="1">
      <alignment horizontal="center" vertical="center"/>
    </xf>
    <xf numFmtId="49" fontId="0" fillId="11" borderId="10" xfId="0" applyNumberFormat="1" applyFill="1" applyBorder="1" applyAlignment="1">
      <alignment horizontal="center" vertical="center"/>
    </xf>
    <xf numFmtId="49" fontId="0" fillId="11" borderId="4" xfId="0" applyNumberFormat="1" applyFill="1" applyBorder="1" applyAlignment="1">
      <alignment horizontal="center" vertical="center"/>
    </xf>
    <xf numFmtId="49" fontId="0" fillId="12" borderId="16" xfId="0" applyNumberFormat="1" applyFill="1" applyBorder="1" applyAlignment="1">
      <alignment horizontal="center" vertical="center"/>
    </xf>
    <xf numFmtId="49" fontId="0" fillId="12" borderId="17" xfId="0" applyNumberFormat="1" applyFill="1" applyBorder="1" applyAlignment="1">
      <alignment horizontal="center" vertical="center"/>
    </xf>
    <xf numFmtId="49" fontId="0" fillId="12" borderId="9" xfId="0" applyNumberFormat="1" applyFill="1" applyBorder="1" applyAlignment="1">
      <alignment horizontal="center" vertical="center"/>
    </xf>
    <xf numFmtId="49" fontId="0" fillId="12" borderId="2" xfId="0" applyNumberFormat="1" applyFill="1" applyBorder="1" applyAlignment="1">
      <alignment horizontal="center" vertical="center"/>
    </xf>
    <xf numFmtId="49" fontId="0" fillId="12" borderId="3" xfId="0" applyNumberFormat="1" applyFill="1" applyBorder="1" applyAlignment="1">
      <alignment horizontal="center" vertical="center"/>
    </xf>
    <xf numFmtId="49" fontId="0" fillId="12" borderId="10" xfId="0" applyNumberFormat="1" applyFill="1" applyBorder="1" applyAlignment="1">
      <alignment horizontal="center" vertical="center"/>
    </xf>
    <xf numFmtId="49" fontId="0" fillId="12" borderId="4" xfId="0" applyNumberFormat="1" applyFill="1" applyBorder="1" applyAlignment="1">
      <alignment horizontal="center" vertical="center"/>
    </xf>
    <xf numFmtId="49" fontId="0" fillId="14" borderId="16" xfId="0" applyNumberFormat="1" applyFill="1" applyBorder="1" applyAlignment="1">
      <alignment horizontal="center" vertical="center"/>
    </xf>
    <xf numFmtId="49" fontId="0" fillId="14" borderId="17" xfId="0" applyNumberFormat="1" applyFill="1" applyBorder="1" applyAlignment="1">
      <alignment horizontal="center" vertical="center"/>
    </xf>
    <xf numFmtId="49" fontId="0" fillId="14" borderId="9" xfId="0" applyNumberFormat="1" applyFill="1" applyBorder="1" applyAlignment="1">
      <alignment horizontal="center" vertical="center"/>
    </xf>
    <xf numFmtId="49" fontId="0" fillId="14" borderId="2" xfId="0" applyNumberFormat="1" applyFill="1" applyBorder="1" applyAlignment="1">
      <alignment horizontal="center" vertical="center"/>
    </xf>
    <xf numFmtId="49" fontId="0" fillId="14" borderId="3" xfId="0" applyNumberFormat="1" applyFill="1" applyBorder="1" applyAlignment="1">
      <alignment horizontal="center" vertical="center"/>
    </xf>
    <xf numFmtId="49" fontId="0" fillId="14" borderId="10" xfId="0" applyNumberFormat="1" applyFill="1" applyBorder="1" applyAlignment="1">
      <alignment horizontal="center" vertical="center"/>
    </xf>
    <xf numFmtId="49" fontId="0" fillId="14" borderId="4" xfId="0" applyNumberFormat="1" applyFill="1" applyBorder="1" applyAlignment="1">
      <alignment horizontal="center" vertical="center"/>
    </xf>
    <xf numFmtId="49" fontId="0" fillId="18" borderId="16" xfId="0" applyNumberFormat="1" applyFill="1" applyBorder="1" applyAlignment="1">
      <alignment horizontal="center" vertical="center"/>
    </xf>
    <xf numFmtId="49" fontId="0" fillId="18" borderId="17" xfId="0" applyNumberFormat="1" applyFill="1" applyBorder="1" applyAlignment="1">
      <alignment horizontal="center" vertical="center"/>
    </xf>
    <xf numFmtId="49" fontId="0" fillId="18" borderId="9" xfId="0" applyNumberFormat="1" applyFill="1" applyBorder="1" applyAlignment="1">
      <alignment horizontal="center" vertical="center"/>
    </xf>
    <xf numFmtId="49" fontId="0" fillId="18" borderId="2" xfId="0" applyNumberFormat="1" applyFill="1" applyBorder="1" applyAlignment="1">
      <alignment horizontal="center" vertical="center"/>
    </xf>
    <xf numFmtId="49" fontId="0" fillId="18" borderId="3" xfId="0" applyNumberFormat="1" applyFill="1" applyBorder="1" applyAlignment="1">
      <alignment horizontal="center" vertical="center"/>
    </xf>
    <xf numFmtId="49" fontId="0" fillId="18" borderId="10" xfId="0" applyNumberFormat="1" applyFill="1" applyBorder="1" applyAlignment="1">
      <alignment horizontal="center" vertical="center"/>
    </xf>
    <xf numFmtId="49" fontId="0" fillId="18" borderId="4" xfId="0" applyNumberFormat="1" applyFill="1" applyBorder="1" applyAlignment="1">
      <alignment horizontal="center" vertical="center"/>
    </xf>
    <xf numFmtId="49" fontId="0" fillId="19" borderId="16" xfId="0" applyNumberFormat="1" applyFill="1" applyBorder="1" applyAlignment="1">
      <alignment horizontal="center" vertical="center"/>
    </xf>
    <xf numFmtId="49" fontId="0" fillId="19" borderId="17" xfId="0" applyNumberFormat="1" applyFill="1" applyBorder="1" applyAlignment="1">
      <alignment horizontal="center" vertical="center"/>
    </xf>
    <xf numFmtId="49" fontId="0" fillId="19" borderId="9" xfId="0" applyNumberFormat="1" applyFill="1" applyBorder="1" applyAlignment="1">
      <alignment horizontal="center" vertical="center"/>
    </xf>
    <xf numFmtId="49" fontId="0" fillId="19" borderId="2" xfId="0" applyNumberFormat="1" applyFill="1" applyBorder="1" applyAlignment="1">
      <alignment horizontal="center" vertical="center"/>
    </xf>
    <xf numFmtId="49" fontId="0" fillId="19" borderId="3" xfId="0" applyNumberFormat="1" applyFill="1" applyBorder="1" applyAlignment="1">
      <alignment horizontal="center" vertical="center"/>
    </xf>
    <xf numFmtId="49" fontId="0" fillId="19" borderId="10" xfId="0" applyNumberFormat="1" applyFill="1" applyBorder="1" applyAlignment="1">
      <alignment horizontal="center" vertical="center"/>
    </xf>
    <xf numFmtId="49" fontId="0" fillId="19" borderId="4" xfId="0" applyNumberFormat="1" applyFill="1" applyBorder="1" applyAlignment="1">
      <alignment horizontal="center" vertical="center"/>
    </xf>
    <xf numFmtId="49" fontId="0" fillId="21" borderId="16" xfId="0" applyNumberFormat="1" applyFill="1" applyBorder="1" applyAlignment="1">
      <alignment horizontal="center" vertical="center"/>
    </xf>
    <xf numFmtId="49" fontId="0" fillId="21" borderId="9" xfId="0" applyNumberFormat="1" applyFill="1" applyBorder="1" applyAlignment="1">
      <alignment horizontal="center" vertical="center"/>
    </xf>
    <xf numFmtId="49" fontId="0" fillId="21" borderId="2" xfId="0" applyNumberForma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0" fillId="15" borderId="21" xfId="0" applyFill="1" applyBorder="1" applyAlignment="1">
      <alignment horizontal="center" vertical="center"/>
    </xf>
    <xf numFmtId="0" fontId="0" fillId="15" borderId="63" xfId="0" applyFill="1" applyBorder="1" applyAlignment="1">
      <alignment horizontal="center" vertical="center"/>
    </xf>
    <xf numFmtId="0" fontId="0" fillId="15" borderId="59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0" fontId="0" fillId="0" borderId="4" xfId="0" quotePrefix="1" applyBorder="1" applyAlignment="1">
      <alignment horizontal="center" vertical="center"/>
    </xf>
    <xf numFmtId="0" fontId="0" fillId="22" borderId="66" xfId="0" applyFill="1" applyBorder="1" applyAlignment="1">
      <alignment horizontal="center" vertical="center"/>
    </xf>
    <xf numFmtId="0" fontId="0" fillId="22" borderId="43" xfId="0" applyFill="1" applyBorder="1" applyAlignment="1">
      <alignment horizontal="center" vertical="center"/>
    </xf>
    <xf numFmtId="0" fontId="0" fillId="22" borderId="21" xfId="0" quotePrefix="1" applyFill="1" applyBorder="1" applyAlignment="1">
      <alignment horizontal="center" vertical="center"/>
    </xf>
    <xf numFmtId="0" fontId="0" fillId="22" borderId="21" xfId="0" applyFill="1" applyBorder="1" applyAlignment="1">
      <alignment horizontal="center" vertical="center"/>
    </xf>
    <xf numFmtId="0" fontId="0" fillId="22" borderId="22" xfId="0" applyFill="1" applyBorder="1" applyAlignment="1">
      <alignment horizontal="center" vertical="center"/>
    </xf>
    <xf numFmtId="0" fontId="0" fillId="22" borderId="48" xfId="0" applyFill="1" applyBorder="1" applyAlignment="1">
      <alignment horizontal="center" vertical="center"/>
    </xf>
    <xf numFmtId="0" fontId="0" fillId="22" borderId="2" xfId="0" quotePrefix="1" applyFill="1" applyBorder="1" applyAlignment="1">
      <alignment horizontal="center" vertical="center"/>
    </xf>
    <xf numFmtId="0" fontId="0" fillId="22" borderId="2" xfId="0" applyFill="1" applyBorder="1" applyAlignment="1">
      <alignment horizontal="center" vertical="center"/>
    </xf>
    <xf numFmtId="0" fontId="0" fillId="22" borderId="3" xfId="0" applyFill="1" applyBorder="1" applyAlignment="1">
      <alignment horizontal="center" vertical="center"/>
    </xf>
    <xf numFmtId="0" fontId="0" fillId="22" borderId="65" xfId="0" applyNumberFormat="1" applyFill="1" applyBorder="1" applyAlignment="1">
      <alignment horizontal="center" vertical="center"/>
    </xf>
    <xf numFmtId="0" fontId="0" fillId="22" borderId="54" xfId="0" applyNumberFormat="1" applyFill="1" applyBorder="1" applyAlignment="1">
      <alignment horizontal="center" vertical="center"/>
    </xf>
    <xf numFmtId="0" fontId="0" fillId="22" borderId="62" xfId="0" applyNumberFormat="1" applyFill="1" applyBorder="1" applyAlignment="1">
      <alignment horizontal="center" vertical="center"/>
    </xf>
    <xf numFmtId="49" fontId="0" fillId="22" borderId="21" xfId="0" applyNumberFormat="1" applyFill="1" applyBorder="1" applyAlignment="1">
      <alignment horizontal="center" vertical="center"/>
    </xf>
    <xf numFmtId="49" fontId="0" fillId="22" borderId="4" xfId="0" applyNumberFormat="1" applyFill="1" applyBorder="1" applyAlignment="1">
      <alignment horizontal="center" vertical="center"/>
    </xf>
    <xf numFmtId="49" fontId="0" fillId="22" borderId="16" xfId="0" applyNumberFormat="1" applyFill="1" applyBorder="1" applyAlignment="1">
      <alignment horizontal="center" vertical="center"/>
    </xf>
    <xf numFmtId="49" fontId="0" fillId="22" borderId="44" xfId="0" applyNumberFormat="1" applyFill="1" applyBorder="1" applyAlignment="1">
      <alignment horizontal="center" vertical="center"/>
    </xf>
    <xf numFmtId="0" fontId="0" fillId="0" borderId="40" xfId="0" applyNumberFormat="1" applyBorder="1" applyAlignment="1">
      <alignment horizontal="center" vertical="center"/>
    </xf>
    <xf numFmtId="0" fontId="0" fillId="22" borderId="6" xfId="0" applyNumberFormat="1" applyFill="1" applyBorder="1" applyAlignment="1">
      <alignment horizontal="center" vertical="center"/>
    </xf>
    <xf numFmtId="0" fontId="0" fillId="0" borderId="69" xfId="0" applyNumberFormat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0" fontId="0" fillId="0" borderId="39" xfId="0" applyNumberFormat="1" applyBorder="1" applyAlignment="1">
      <alignment horizontal="center" vertical="center"/>
    </xf>
    <xf numFmtId="0" fontId="0" fillId="0" borderId="40" xfId="0" applyNumberForma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49" fontId="0" fillId="2" borderId="43" xfId="0" applyNumberFormat="1" applyFill="1" applyBorder="1" applyAlignment="1">
      <alignment horizontal="center" vertical="center"/>
    </xf>
    <xf numFmtId="49" fontId="0" fillId="16" borderId="22" xfId="0" applyNumberFormat="1" applyFill="1" applyBorder="1" applyAlignment="1">
      <alignment horizontal="center" vertical="center"/>
    </xf>
    <xf numFmtId="49" fontId="0" fillId="16" borderId="23" xfId="0" applyNumberFormat="1" applyFill="1" applyBorder="1" applyAlignment="1">
      <alignment horizontal="center" vertical="center"/>
    </xf>
    <xf numFmtId="49" fontId="0" fillId="16" borderId="2" xfId="0" applyNumberFormat="1" applyFill="1" applyBorder="1" applyAlignment="1">
      <alignment horizontal="center" vertical="center"/>
    </xf>
    <xf numFmtId="49" fontId="0" fillId="16" borderId="3" xfId="0" applyNumberFormat="1" applyFill="1" applyBorder="1" applyAlignment="1">
      <alignment horizontal="center" vertical="center"/>
    </xf>
    <xf numFmtId="49" fontId="0" fillId="16" borderId="24" xfId="0" applyNumberFormat="1" applyFill="1" applyBorder="1" applyAlignment="1">
      <alignment horizontal="center" vertical="center"/>
    </xf>
    <xf numFmtId="49" fontId="0" fillId="16" borderId="4" xfId="0" applyNumberFormat="1" applyFill="1" applyBorder="1" applyAlignment="1">
      <alignment horizontal="center" vertical="center"/>
    </xf>
    <xf numFmtId="49" fontId="0" fillId="17" borderId="18" xfId="0" applyNumberFormat="1" applyFill="1" applyBorder="1" applyAlignment="1">
      <alignment horizontal="center" vertical="center"/>
    </xf>
    <xf numFmtId="49" fontId="0" fillId="17" borderId="19" xfId="0" applyNumberFormat="1" applyFill="1" applyBorder="1" applyAlignment="1">
      <alignment horizontal="center" vertical="center"/>
    </xf>
    <xf numFmtId="49" fontId="0" fillId="17" borderId="20" xfId="0" applyNumberFormat="1" applyFill="1" applyBorder="1" applyAlignment="1">
      <alignment horizontal="center" vertical="center"/>
    </xf>
    <xf numFmtId="49" fontId="0" fillId="11" borderId="18" xfId="0" applyNumberFormat="1" applyFill="1" applyBorder="1" applyAlignment="1">
      <alignment horizontal="center" vertical="center"/>
    </xf>
    <xf numFmtId="49" fontId="0" fillId="11" borderId="19" xfId="0" applyNumberFormat="1" applyFill="1" applyBorder="1" applyAlignment="1">
      <alignment horizontal="center" vertical="center"/>
    </xf>
    <xf numFmtId="49" fontId="0" fillId="11" borderId="20" xfId="0" applyNumberFormat="1" applyFill="1" applyBorder="1" applyAlignment="1">
      <alignment horizontal="center" vertical="center"/>
    </xf>
    <xf numFmtId="49" fontId="0" fillId="12" borderId="18" xfId="0" applyNumberFormat="1" applyFill="1" applyBorder="1" applyAlignment="1">
      <alignment horizontal="center" vertical="center"/>
    </xf>
    <xf numFmtId="49" fontId="0" fillId="12" borderId="19" xfId="0" applyNumberFormat="1" applyFill="1" applyBorder="1" applyAlignment="1">
      <alignment horizontal="center" vertical="center"/>
    </xf>
    <xf numFmtId="49" fontId="0" fillId="12" borderId="20" xfId="0" applyNumberFormat="1" applyFill="1" applyBorder="1" applyAlignment="1">
      <alignment horizontal="center" vertical="center"/>
    </xf>
    <xf numFmtId="49" fontId="0" fillId="14" borderId="18" xfId="0" applyNumberFormat="1" applyFill="1" applyBorder="1" applyAlignment="1">
      <alignment horizontal="center" vertical="center"/>
    </xf>
    <xf numFmtId="49" fontId="0" fillId="14" borderId="19" xfId="0" applyNumberFormat="1" applyFill="1" applyBorder="1" applyAlignment="1">
      <alignment horizontal="center" vertical="center"/>
    </xf>
    <xf numFmtId="49" fontId="0" fillId="14" borderId="20" xfId="0" applyNumberFormat="1" applyFill="1" applyBorder="1" applyAlignment="1">
      <alignment horizontal="center" vertical="center"/>
    </xf>
    <xf numFmtId="49" fontId="0" fillId="18" borderId="14" xfId="0" applyNumberFormat="1" applyFill="1" applyBorder="1" applyAlignment="1">
      <alignment horizontal="center" vertical="center"/>
    </xf>
    <xf numFmtId="49" fontId="0" fillId="18" borderId="12" xfId="0" applyNumberFormat="1" applyFill="1" applyBorder="1" applyAlignment="1">
      <alignment horizontal="center" vertical="center"/>
    </xf>
    <xf numFmtId="49" fontId="0" fillId="18" borderId="13" xfId="0" applyNumberFormat="1" applyFill="1" applyBorder="1" applyAlignment="1">
      <alignment horizontal="center" vertical="center"/>
    </xf>
    <xf numFmtId="49" fontId="0" fillId="19" borderId="1" xfId="0" applyNumberFormat="1" applyFill="1" applyBorder="1" applyAlignment="1">
      <alignment horizontal="center" vertical="center"/>
    </xf>
    <xf numFmtId="49" fontId="0" fillId="19" borderId="33" xfId="0" applyNumberFormat="1" applyFill="1" applyBorder="1" applyAlignment="1">
      <alignment horizontal="center" vertical="center"/>
    </xf>
    <xf numFmtId="49" fontId="0" fillId="19" borderId="19" xfId="0" applyNumberFormat="1" applyFill="1" applyBorder="1" applyAlignment="1">
      <alignment horizontal="center" vertical="center"/>
    </xf>
    <xf numFmtId="49" fontId="0" fillId="19" borderId="20" xfId="0" applyNumberFormat="1" applyFill="1" applyBorder="1" applyAlignment="1">
      <alignment horizontal="center" vertical="center"/>
    </xf>
    <xf numFmtId="49" fontId="0" fillId="19" borderId="14" xfId="0" applyNumberFormat="1" applyFill="1" applyBorder="1" applyAlignment="1">
      <alignment horizontal="center" vertical="center"/>
    </xf>
    <xf numFmtId="49" fontId="0" fillId="19" borderId="12" xfId="0" applyNumberFormat="1" applyFill="1" applyBorder="1" applyAlignment="1">
      <alignment horizontal="center" vertical="center"/>
    </xf>
    <xf numFmtId="49" fontId="0" fillId="19" borderId="13" xfId="0" applyNumberFormat="1" applyFill="1" applyBorder="1" applyAlignment="1">
      <alignment horizontal="center" vertical="center"/>
    </xf>
    <xf numFmtId="49" fontId="0" fillId="21" borderId="1" xfId="0" applyNumberFormat="1" applyFill="1" applyBorder="1" applyAlignment="1">
      <alignment horizontal="center" vertical="center"/>
    </xf>
    <xf numFmtId="49" fontId="0" fillId="21" borderId="18" xfId="0" applyNumberFormat="1" applyFill="1" applyBorder="1" applyAlignment="1">
      <alignment horizontal="center" vertical="center"/>
    </xf>
    <xf numFmtId="49" fontId="0" fillId="21" borderId="19" xfId="0" applyNumberFormat="1" applyFill="1" applyBorder="1" applyAlignment="1">
      <alignment horizontal="center" vertical="center"/>
    </xf>
    <xf numFmtId="49" fontId="0" fillId="21" borderId="20" xfId="0" applyNumberFormat="1" applyFill="1" applyBorder="1" applyAlignment="1">
      <alignment horizontal="center" vertical="center"/>
    </xf>
    <xf numFmtId="49" fontId="0" fillId="21" borderId="14" xfId="0" applyNumberFormat="1" applyFill="1" applyBorder="1" applyAlignment="1">
      <alignment horizontal="center" vertical="center"/>
    </xf>
    <xf numFmtId="49" fontId="0" fillId="21" borderId="12" xfId="0" applyNumberFormat="1" applyFill="1" applyBorder="1" applyAlignment="1">
      <alignment horizontal="center" vertical="center"/>
    </xf>
    <xf numFmtId="49" fontId="0" fillId="21" borderId="13" xfId="0" applyNumberFormat="1" applyFill="1" applyBorder="1" applyAlignment="1">
      <alignment horizontal="center" vertical="center"/>
    </xf>
    <xf numFmtId="49" fontId="0" fillId="18" borderId="8" xfId="0" applyNumberFormat="1" applyFill="1" applyBorder="1" applyAlignment="1">
      <alignment horizontal="center" vertical="center"/>
    </xf>
    <xf numFmtId="49" fontId="0" fillId="18" borderId="34" xfId="0" applyNumberFormat="1" applyFill="1" applyBorder="1" applyAlignment="1">
      <alignment horizontal="center" vertical="center"/>
    </xf>
    <xf numFmtId="49" fontId="0" fillId="18" borderId="35" xfId="0" applyNumberFormat="1" applyFill="1" applyBorder="1" applyAlignment="1">
      <alignment horizontal="center" vertical="center"/>
    </xf>
    <xf numFmtId="49" fontId="0" fillId="18" borderId="36" xfId="0" applyNumberFormat="1" applyFill="1" applyBorder="1" applyAlignment="1">
      <alignment horizontal="center" vertical="center"/>
    </xf>
    <xf numFmtId="49" fontId="0" fillId="16" borderId="8" xfId="0" applyNumberFormat="1" applyFill="1" applyBorder="1" applyAlignment="1">
      <alignment horizontal="center" vertical="center"/>
    </xf>
    <xf numFmtId="49" fontId="0" fillId="16" borderId="14" xfId="0" applyNumberFormat="1" applyFill="1" applyBorder="1" applyAlignment="1">
      <alignment horizontal="center" vertical="center"/>
    </xf>
    <xf numFmtId="49" fontId="0" fillId="16" borderId="12" xfId="0" applyNumberFormat="1" applyFill="1" applyBorder="1" applyAlignment="1">
      <alignment horizontal="center" vertical="center"/>
    </xf>
    <xf numFmtId="49" fontId="0" fillId="16" borderId="13" xfId="0" applyNumberFormat="1" applyFill="1" applyBorder="1" applyAlignment="1">
      <alignment horizontal="center" vertical="center"/>
    </xf>
    <xf numFmtId="49" fontId="0" fillId="17" borderId="1" xfId="0" applyNumberFormat="1" applyFill="1" applyBorder="1" applyAlignment="1">
      <alignment horizontal="center" vertical="center"/>
    </xf>
    <xf numFmtId="49" fontId="0" fillId="17" borderId="14" xfId="0" applyNumberFormat="1" applyFill="1" applyBorder="1" applyAlignment="1">
      <alignment horizontal="center" vertical="center"/>
    </xf>
    <xf numFmtId="49" fontId="0" fillId="17" borderId="12" xfId="0" applyNumberFormat="1" applyFill="1" applyBorder="1" applyAlignment="1">
      <alignment horizontal="center" vertical="center"/>
    </xf>
    <xf numFmtId="49" fontId="0" fillId="17" borderId="13" xfId="0" applyNumberFormat="1" applyFill="1" applyBorder="1" applyAlignment="1">
      <alignment horizontal="center" vertical="center"/>
    </xf>
    <xf numFmtId="49" fontId="0" fillId="11" borderId="1" xfId="0" applyNumberFormat="1" applyFill="1" applyBorder="1" applyAlignment="1">
      <alignment horizontal="center" vertical="center"/>
    </xf>
    <xf numFmtId="49" fontId="0" fillId="11" borderId="14" xfId="0" applyNumberFormat="1" applyFill="1" applyBorder="1" applyAlignment="1">
      <alignment horizontal="center" vertical="center"/>
    </xf>
    <xf numFmtId="49" fontId="0" fillId="11" borderId="12" xfId="0" applyNumberFormat="1" applyFill="1" applyBorder="1" applyAlignment="1">
      <alignment horizontal="center" vertical="center"/>
    </xf>
    <xf numFmtId="49" fontId="0" fillId="11" borderId="13" xfId="0" applyNumberFormat="1" applyFill="1" applyBorder="1" applyAlignment="1">
      <alignment horizontal="center" vertical="center"/>
    </xf>
    <xf numFmtId="49" fontId="0" fillId="12" borderId="1" xfId="0" applyNumberFormat="1" applyFill="1" applyBorder="1" applyAlignment="1">
      <alignment horizontal="center" vertical="center"/>
    </xf>
    <xf numFmtId="49" fontId="0" fillId="12" borderId="14" xfId="0" applyNumberFormat="1" applyFill="1" applyBorder="1" applyAlignment="1">
      <alignment horizontal="center" vertical="center"/>
    </xf>
    <xf numFmtId="49" fontId="0" fillId="12" borderId="12" xfId="0" applyNumberFormat="1" applyFill="1" applyBorder="1" applyAlignment="1">
      <alignment horizontal="center" vertical="center"/>
    </xf>
    <xf numFmtId="49" fontId="0" fillId="12" borderId="13" xfId="0" applyNumberFormat="1" applyFill="1" applyBorder="1" applyAlignment="1">
      <alignment horizontal="center" vertical="center"/>
    </xf>
    <xf numFmtId="49" fontId="0" fillId="14" borderId="1" xfId="0" applyNumberFormat="1" applyFill="1" applyBorder="1" applyAlignment="1">
      <alignment horizontal="center" vertical="center"/>
    </xf>
    <xf numFmtId="49" fontId="0" fillId="14" borderId="14" xfId="0" applyNumberFormat="1" applyFill="1" applyBorder="1" applyAlignment="1">
      <alignment horizontal="center" vertical="center"/>
    </xf>
    <xf numFmtId="49" fontId="0" fillId="14" borderId="12" xfId="0" applyNumberFormat="1" applyFill="1" applyBorder="1" applyAlignment="1">
      <alignment horizontal="center" vertical="center"/>
    </xf>
    <xf numFmtId="49" fontId="0" fillId="14" borderId="13" xfId="0" applyNumberFormat="1" applyFill="1" applyBorder="1" applyAlignment="1">
      <alignment horizontal="center" vertical="center"/>
    </xf>
    <xf numFmtId="0" fontId="0" fillId="8" borderId="9" xfId="0" applyNumberFormat="1" applyFill="1" applyBorder="1" applyAlignment="1">
      <alignment horizontal="center" vertical="center"/>
    </xf>
    <xf numFmtId="0" fontId="0" fillId="8" borderId="15" xfId="0" applyNumberFormat="1" applyFill="1" applyBorder="1" applyAlignment="1">
      <alignment horizontal="center" vertical="center"/>
    </xf>
    <xf numFmtId="0" fontId="0" fillId="11" borderId="25" xfId="0" applyNumberFormat="1" applyFill="1" applyBorder="1" applyAlignment="1">
      <alignment horizontal="center" vertical="center"/>
    </xf>
    <xf numFmtId="0" fontId="0" fillId="11" borderId="9" xfId="0" applyNumberFormat="1" applyFill="1" applyBorder="1" applyAlignment="1">
      <alignment horizontal="center" vertical="center"/>
    </xf>
    <xf numFmtId="0" fontId="0" fillId="12" borderId="15" xfId="0" applyNumberFormat="1" applyFill="1" applyBorder="1" applyAlignment="1">
      <alignment horizontal="center" vertical="center"/>
    </xf>
    <xf numFmtId="0" fontId="0" fillId="12" borderId="9" xfId="0" applyNumberFormat="1" applyFill="1" applyBorder="1" applyAlignment="1">
      <alignment horizontal="center" vertical="center"/>
    </xf>
    <xf numFmtId="0" fontId="0" fillId="12" borderId="61" xfId="0" applyNumberFormat="1" applyFill="1" applyBorder="1" applyAlignment="1">
      <alignment horizontal="center" vertical="center"/>
    </xf>
    <xf numFmtId="0" fontId="0" fillId="14" borderId="25" xfId="0" applyNumberFormat="1" applyFill="1" applyBorder="1" applyAlignment="1">
      <alignment horizontal="center" vertical="center"/>
    </xf>
    <xf numFmtId="0" fontId="0" fillId="14" borderId="9" xfId="0" applyNumberFormat="1" applyFill="1" applyBorder="1" applyAlignment="1">
      <alignment horizontal="center" vertical="center"/>
    </xf>
    <xf numFmtId="0" fontId="0" fillId="15" borderId="9" xfId="0" applyNumberFormat="1" applyFill="1" applyBorder="1" applyAlignment="1">
      <alignment horizontal="center" vertical="center"/>
    </xf>
    <xf numFmtId="14" fontId="0" fillId="0" borderId="43" xfId="0" applyNumberFormat="1" applyBorder="1" applyAlignment="1">
      <alignment horizontal="center" vertical="center"/>
    </xf>
    <xf numFmtId="14" fontId="0" fillId="0" borderId="22" xfId="0" applyNumberFormat="1" applyBorder="1" applyAlignment="1">
      <alignment horizontal="center" vertical="center"/>
    </xf>
    <xf numFmtId="49" fontId="6" fillId="21" borderId="4" xfId="0" applyNumberFormat="1" applyFont="1" applyFill="1" applyBorder="1" applyAlignment="1">
      <alignment horizontal="center" vertical="center"/>
    </xf>
    <xf numFmtId="49" fontId="6" fillId="21" borderId="3" xfId="0" applyNumberFormat="1" applyFont="1" applyFill="1" applyBorder="1" applyAlignment="1">
      <alignment horizontal="center" vertical="center"/>
    </xf>
    <xf numFmtId="49" fontId="6" fillId="21" borderId="10" xfId="0" applyNumberFormat="1" applyFont="1" applyFill="1" applyBorder="1" applyAlignment="1">
      <alignment horizontal="center" vertical="center"/>
    </xf>
    <xf numFmtId="49" fontId="6" fillId="21" borderId="17" xfId="0" applyNumberFormat="1" applyFont="1" applyFill="1" applyBorder="1" applyAlignment="1">
      <alignment horizontal="center" vertical="center"/>
    </xf>
    <xf numFmtId="0" fontId="0" fillId="5" borderId="53" xfId="0" applyFill="1" applyBorder="1" applyAlignment="1">
      <alignment horizontal="center" vertical="center"/>
    </xf>
    <xf numFmtId="0" fontId="0" fillId="5" borderId="54" xfId="0" applyFill="1" applyBorder="1" applyAlignment="1">
      <alignment horizontal="center" vertical="center"/>
    </xf>
    <xf numFmtId="0" fontId="0" fillId="22" borderId="23" xfId="0" applyFill="1" applyBorder="1" applyAlignment="1">
      <alignment horizontal="center" vertical="center"/>
    </xf>
    <xf numFmtId="0" fontId="0" fillId="23" borderId="23" xfId="0" applyFill="1" applyBorder="1" applyAlignment="1">
      <alignment horizontal="center" vertical="center"/>
    </xf>
    <xf numFmtId="0" fontId="0" fillId="23" borderId="24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11" borderId="12" xfId="0" applyFill="1" applyBorder="1" applyAlignment="1">
      <alignment horizontal="center" vertical="center"/>
    </xf>
    <xf numFmtId="0" fontId="0" fillId="11" borderId="13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15" borderId="12" xfId="0" applyFill="1" applyBorder="1" applyAlignment="1">
      <alignment horizontal="center" vertical="center"/>
    </xf>
    <xf numFmtId="0" fontId="0" fillId="15" borderId="13" xfId="0" applyFill="1" applyBorder="1" applyAlignment="1">
      <alignment horizontal="center" vertical="center"/>
    </xf>
    <xf numFmtId="49" fontId="0" fillId="16" borderId="33" xfId="0" applyNumberFormat="1" applyFill="1" applyBorder="1" applyAlignment="1">
      <alignment horizontal="center" vertical="center"/>
    </xf>
    <xf numFmtId="49" fontId="0" fillId="16" borderId="19" xfId="0" applyNumberFormat="1" applyFill="1" applyBorder="1" applyAlignment="1">
      <alignment horizontal="center" vertical="center"/>
    </xf>
    <xf numFmtId="49" fontId="0" fillId="16" borderId="20" xfId="0" applyNumberFormat="1" applyFill="1" applyBorder="1" applyAlignment="1">
      <alignment horizontal="center" vertical="center"/>
    </xf>
    <xf numFmtId="0" fontId="0" fillId="8" borderId="57" xfId="0" applyNumberFormat="1" applyFill="1" applyBorder="1" applyAlignment="1">
      <alignment horizontal="center" vertical="center"/>
    </xf>
    <xf numFmtId="0" fontId="0" fillId="8" borderId="58" xfId="0" applyNumberFormat="1" applyFill="1" applyBorder="1" applyAlignment="1">
      <alignment horizontal="center" vertical="center"/>
    </xf>
    <xf numFmtId="0" fontId="0" fillId="8" borderId="59" xfId="0" applyNumberFormat="1" applyFill="1" applyBorder="1" applyAlignment="1">
      <alignment horizontal="center" vertical="center"/>
    </xf>
    <xf numFmtId="0" fontId="0" fillId="11" borderId="63" xfId="0" applyNumberFormat="1" applyFill="1" applyBorder="1" applyAlignment="1">
      <alignment horizontal="center" vertical="center"/>
    </xf>
    <xf numFmtId="0" fontId="0" fillId="11" borderId="58" xfId="0" applyNumberFormat="1" applyFill="1" applyBorder="1" applyAlignment="1">
      <alignment horizontal="center" vertical="center"/>
    </xf>
    <xf numFmtId="0" fontId="0" fillId="11" borderId="59" xfId="0" applyNumberFormat="1" applyFill="1" applyBorder="1" applyAlignment="1">
      <alignment horizontal="center" vertical="center"/>
    </xf>
    <xf numFmtId="0" fontId="0" fillId="12" borderId="57" xfId="0" applyNumberFormat="1" applyFill="1" applyBorder="1" applyAlignment="1">
      <alignment horizontal="center" vertical="center"/>
    </xf>
    <xf numFmtId="0" fontId="0" fillId="12" borderId="58" xfId="0" applyNumberFormat="1" applyFill="1" applyBorder="1" applyAlignment="1">
      <alignment horizontal="center" vertical="center"/>
    </xf>
    <xf numFmtId="0" fontId="0" fillId="12" borderId="64" xfId="0" applyNumberFormat="1" applyFill="1" applyBorder="1" applyAlignment="1">
      <alignment horizontal="center" vertical="center"/>
    </xf>
    <xf numFmtId="0" fontId="0" fillId="14" borderId="63" xfId="0" applyNumberFormat="1" applyFill="1" applyBorder="1" applyAlignment="1">
      <alignment horizontal="center" vertical="center"/>
    </xf>
    <xf numFmtId="0" fontId="0" fillId="14" borderId="58" xfId="0" applyNumberFormat="1" applyFill="1" applyBorder="1" applyAlignment="1">
      <alignment horizontal="center" vertical="center"/>
    </xf>
    <xf numFmtId="0" fontId="0" fillId="14" borderId="59" xfId="0" applyNumberFormat="1" applyFill="1" applyBorder="1" applyAlignment="1">
      <alignment horizontal="center" vertical="center"/>
    </xf>
    <xf numFmtId="0" fontId="0" fillId="15" borderId="63" xfId="0" applyNumberFormat="1" applyFill="1" applyBorder="1" applyAlignment="1">
      <alignment horizontal="center" vertical="center"/>
    </xf>
    <xf numFmtId="0" fontId="0" fillId="15" borderId="58" xfId="0" applyNumberFormat="1" applyFill="1" applyBorder="1" applyAlignment="1">
      <alignment horizontal="center" vertical="center"/>
    </xf>
    <xf numFmtId="0" fontId="0" fillId="15" borderId="59" xfId="0" applyNumberFormat="1" applyFill="1" applyBorder="1" applyAlignment="1">
      <alignment horizontal="center" vertical="center"/>
    </xf>
    <xf numFmtId="0" fontId="0" fillId="7" borderId="22" xfId="0" applyNumberFormat="1" applyFill="1" applyBorder="1" applyAlignment="1">
      <alignment horizontal="center" vertical="center"/>
    </xf>
    <xf numFmtId="0" fontId="0" fillId="7" borderId="3" xfId="0" applyNumberFormat="1" applyFill="1" applyBorder="1" applyAlignment="1">
      <alignment horizontal="center" vertical="center"/>
    </xf>
    <xf numFmtId="0" fontId="0" fillId="7" borderId="5" xfId="0" applyNumberFormat="1" applyFill="1" applyBorder="1" applyAlignment="1">
      <alignment horizontal="center" vertical="center"/>
    </xf>
    <xf numFmtId="0" fontId="0" fillId="7" borderId="25" xfId="0" applyNumberFormat="1" applyFill="1" applyBorder="1" applyAlignment="1">
      <alignment horizontal="center" vertical="center"/>
    </xf>
    <xf numFmtId="0" fontId="0" fillId="7" borderId="9" xfId="0" applyNumberFormat="1" applyFill="1" applyBorder="1" applyAlignment="1">
      <alignment horizontal="center" vertical="center"/>
    </xf>
    <xf numFmtId="0" fontId="0" fillId="5" borderId="38" xfId="0" applyFill="1" applyBorder="1" applyAlignment="1">
      <alignment horizontal="center" vertical="center"/>
    </xf>
    <xf numFmtId="0" fontId="0" fillId="6" borderId="41" xfId="0" applyFill="1" applyBorder="1" applyAlignment="1">
      <alignment horizontal="center" vertical="center"/>
    </xf>
    <xf numFmtId="49" fontId="0" fillId="7" borderId="10" xfId="0" applyNumberForma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8" borderId="10" xfId="0" applyNumberFormat="1" applyFill="1" applyBorder="1" applyAlignment="1">
      <alignment horizontal="center" vertical="center"/>
    </xf>
    <xf numFmtId="0" fontId="0" fillId="11" borderId="10" xfId="0" applyNumberFormat="1" applyFill="1" applyBorder="1" applyAlignment="1">
      <alignment horizontal="center" vertical="center"/>
    </xf>
    <xf numFmtId="0" fontId="0" fillId="14" borderId="10" xfId="0" applyNumberFormat="1" applyFill="1" applyBorder="1" applyAlignment="1">
      <alignment horizontal="center" vertical="center"/>
    </xf>
    <xf numFmtId="0" fontId="0" fillId="15" borderId="25" xfId="0" applyNumberFormat="1" applyFill="1" applyBorder="1" applyAlignment="1">
      <alignment horizontal="center" vertical="center"/>
    </xf>
    <xf numFmtId="0" fontId="0" fillId="15" borderId="10" xfId="0" applyNumberFormat="1" applyFill="1" applyBorder="1" applyAlignment="1">
      <alignment horizontal="center" vertical="center"/>
    </xf>
    <xf numFmtId="0" fontId="0" fillId="8" borderId="51" xfId="0" applyFill="1" applyBorder="1" applyAlignment="1">
      <alignment horizontal="center" vertical="center"/>
    </xf>
    <xf numFmtId="0" fontId="0" fillId="8" borderId="52" xfId="0" quotePrefix="1" applyFill="1" applyBorder="1" applyAlignment="1">
      <alignment horizontal="center" vertical="center"/>
    </xf>
    <xf numFmtId="0" fontId="0" fillId="9" borderId="69" xfId="0" applyFill="1" applyBorder="1" applyAlignment="1">
      <alignment horizontal="center" vertical="center"/>
    </xf>
    <xf numFmtId="0" fontId="0" fillId="9" borderId="51" xfId="0" applyFill="1" applyBorder="1" applyAlignment="1">
      <alignment horizontal="center" vertical="center"/>
    </xf>
    <xf numFmtId="0" fontId="0" fillId="11" borderId="51" xfId="0" applyFill="1" applyBorder="1" applyAlignment="1">
      <alignment horizontal="center" vertical="center"/>
    </xf>
    <xf numFmtId="0" fontId="0" fillId="11" borderId="52" xfId="0" quotePrefix="1" applyFill="1" applyBorder="1" applyAlignment="1">
      <alignment horizontal="center" vertical="center"/>
    </xf>
    <xf numFmtId="0" fontId="0" fillId="10" borderId="69" xfId="0" applyFill="1" applyBorder="1" applyAlignment="1">
      <alignment horizontal="center" vertical="center"/>
    </xf>
    <xf numFmtId="0" fontId="0" fillId="10" borderId="51" xfId="0" applyFill="1" applyBorder="1" applyAlignment="1">
      <alignment horizontal="center" vertical="center"/>
    </xf>
    <xf numFmtId="0" fontId="0" fillId="12" borderId="51" xfId="0" applyFill="1" applyBorder="1" applyAlignment="1">
      <alignment horizontal="center" vertical="center"/>
    </xf>
    <xf numFmtId="0" fontId="0" fillId="12" borderId="52" xfId="0" quotePrefix="1" applyFill="1" applyBorder="1" applyAlignment="1">
      <alignment horizontal="center" vertical="center"/>
    </xf>
    <xf numFmtId="0" fontId="0" fillId="4" borderId="69" xfId="0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/>
    </xf>
    <xf numFmtId="0" fontId="0" fillId="14" borderId="51" xfId="0" applyFill="1" applyBorder="1" applyAlignment="1">
      <alignment horizontal="center" vertical="center"/>
    </xf>
    <xf numFmtId="0" fontId="0" fillId="14" borderId="52" xfId="0" quotePrefix="1" applyFill="1" applyBorder="1" applyAlignment="1">
      <alignment horizontal="center" vertical="center"/>
    </xf>
    <xf numFmtId="0" fontId="0" fillId="3" borderId="69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0" fillId="15" borderId="51" xfId="0" applyFill="1" applyBorder="1" applyAlignment="1">
      <alignment horizontal="center" vertical="center"/>
    </xf>
    <xf numFmtId="0" fontId="0" fillId="15" borderId="52" xfId="0" quotePrefix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5" borderId="62" xfId="0" applyFill="1" applyBorder="1" applyAlignment="1">
      <alignment horizontal="center" vertical="center"/>
    </xf>
    <xf numFmtId="0" fontId="0" fillId="6" borderId="0" xfId="0" applyFill="1" applyBorder="1" applyAlignment="1">
      <alignment horizontal="right" vertical="center"/>
    </xf>
    <xf numFmtId="0" fontId="0" fillId="6" borderId="42" xfId="0" applyFill="1" applyBorder="1" applyAlignment="1">
      <alignment horizontal="right" vertical="center"/>
    </xf>
    <xf numFmtId="0" fontId="0" fillId="5" borderId="29" xfId="0" applyFill="1" applyBorder="1" applyAlignment="1">
      <alignment horizontal="center" vertical="center"/>
    </xf>
    <xf numFmtId="0" fontId="0" fillId="5" borderId="68" xfId="0" applyFill="1" applyBorder="1" applyAlignment="1">
      <alignment horizontal="center" vertical="center"/>
    </xf>
    <xf numFmtId="0" fontId="0" fillId="5" borderId="67" xfId="0" applyFill="1" applyBorder="1" applyAlignment="1">
      <alignment horizontal="center" vertical="center"/>
    </xf>
    <xf numFmtId="0" fontId="0" fillId="5" borderId="70" xfId="0" applyFill="1" applyBorder="1" applyAlignment="1">
      <alignment horizontal="center" vertical="center"/>
    </xf>
    <xf numFmtId="0" fontId="0" fillId="22" borderId="17" xfId="0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22" borderId="25" xfId="0" applyFill="1" applyBorder="1" applyAlignment="1">
      <alignment horizontal="center" vertical="center"/>
    </xf>
    <xf numFmtId="0" fontId="0" fillId="22" borderId="1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5" borderId="38" xfId="0" applyFill="1" applyBorder="1" applyAlignment="1">
      <alignment horizontal="center" vertical="center"/>
    </xf>
    <xf numFmtId="0" fontId="0" fillId="7" borderId="71" xfId="0" quotePrefix="1" applyFill="1" applyBorder="1" applyAlignment="1">
      <alignment horizontal="center" vertical="center"/>
    </xf>
    <xf numFmtId="0" fontId="0" fillId="7" borderId="72" xfId="0" quotePrefix="1" applyFill="1" applyBorder="1" applyAlignment="1">
      <alignment horizontal="center" vertical="center"/>
    </xf>
    <xf numFmtId="0" fontId="0" fillId="8" borderId="71" xfId="0" applyFill="1" applyBorder="1" applyAlignment="1">
      <alignment horizontal="center" vertical="center"/>
    </xf>
    <xf numFmtId="0" fontId="0" fillId="8" borderId="72" xfId="0" applyFill="1" applyBorder="1" applyAlignment="1">
      <alignment horizontal="center" vertical="center"/>
    </xf>
    <xf numFmtId="0" fontId="0" fillId="11" borderId="71" xfId="0" applyNumberFormat="1" applyFill="1" applyBorder="1" applyAlignment="1">
      <alignment horizontal="center" vertical="center"/>
    </xf>
    <xf numFmtId="0" fontId="0" fillId="11" borderId="72" xfId="0" applyNumberFormat="1" applyFill="1" applyBorder="1" applyAlignment="1">
      <alignment horizontal="center" vertical="center"/>
    </xf>
    <xf numFmtId="49" fontId="0" fillId="11" borderId="71" xfId="0" applyNumberFormat="1" applyFill="1" applyBorder="1" applyAlignment="1">
      <alignment horizontal="center" vertical="center"/>
    </xf>
    <xf numFmtId="49" fontId="0" fillId="11" borderId="72" xfId="0" applyNumberFormat="1" applyFill="1" applyBorder="1" applyAlignment="1">
      <alignment horizontal="center" vertical="center"/>
    </xf>
    <xf numFmtId="0" fontId="0" fillId="12" borderId="71" xfId="0" applyNumberFormat="1" applyFill="1" applyBorder="1" applyAlignment="1">
      <alignment horizontal="center" vertical="center"/>
    </xf>
    <xf numFmtId="0" fontId="0" fillId="12" borderId="72" xfId="0" applyNumberFormat="1" applyFill="1" applyBorder="1" applyAlignment="1">
      <alignment horizontal="center" vertical="center"/>
    </xf>
    <xf numFmtId="0" fontId="0" fillId="14" borderId="71" xfId="0" applyNumberFormat="1" applyFill="1" applyBorder="1" applyAlignment="1">
      <alignment horizontal="center" vertical="center"/>
    </xf>
    <xf numFmtId="0" fontId="0" fillId="14" borderId="72" xfId="0" applyNumberFormat="1" applyFill="1" applyBorder="1" applyAlignment="1">
      <alignment horizontal="center" vertical="center"/>
    </xf>
    <xf numFmtId="49" fontId="0" fillId="14" borderId="71" xfId="0" applyNumberFormat="1" applyFill="1" applyBorder="1" applyAlignment="1">
      <alignment horizontal="center" vertical="center"/>
    </xf>
    <xf numFmtId="49" fontId="0" fillId="14" borderId="72" xfId="0" applyNumberFormat="1" applyFill="1" applyBorder="1" applyAlignment="1">
      <alignment horizontal="center" vertical="center"/>
    </xf>
    <xf numFmtId="0" fontId="0" fillId="15" borderId="71" xfId="0" applyNumberFormat="1" applyFill="1" applyBorder="1" applyAlignment="1">
      <alignment horizontal="center" vertical="center"/>
    </xf>
    <xf numFmtId="0" fontId="0" fillId="15" borderId="72" xfId="0" applyNumberFormat="1" applyFill="1" applyBorder="1" applyAlignment="1">
      <alignment horizontal="center" vertical="center"/>
    </xf>
    <xf numFmtId="49" fontId="0" fillId="15" borderId="71" xfId="0" applyNumberFormat="1" applyFill="1" applyBorder="1" applyAlignment="1">
      <alignment horizontal="center" vertical="center"/>
    </xf>
    <xf numFmtId="49" fontId="0" fillId="15" borderId="72" xfId="0" applyNumberFormat="1" applyFill="1" applyBorder="1" applyAlignment="1">
      <alignment horizontal="center" vertical="center"/>
    </xf>
    <xf numFmtId="0" fontId="0" fillId="7" borderId="73" xfId="0" quotePrefix="1" applyFill="1" applyBorder="1" applyAlignment="1">
      <alignment horizontal="center" vertical="center"/>
    </xf>
    <xf numFmtId="0" fontId="0" fillId="7" borderId="74" xfId="0" quotePrefix="1" applyFill="1" applyBorder="1" applyAlignment="1">
      <alignment horizontal="center" vertical="center"/>
    </xf>
    <xf numFmtId="0" fontId="0" fillId="8" borderId="73" xfId="0" applyFill="1" applyBorder="1" applyAlignment="1">
      <alignment horizontal="center" vertical="center"/>
    </xf>
    <xf numFmtId="0" fontId="0" fillId="8" borderId="74" xfId="0" applyFill="1" applyBorder="1" applyAlignment="1">
      <alignment horizontal="center" vertical="center"/>
    </xf>
    <xf numFmtId="0" fontId="0" fillId="11" borderId="73" xfId="0" applyNumberFormat="1" applyFill="1" applyBorder="1" applyAlignment="1">
      <alignment horizontal="center" vertical="center"/>
    </xf>
    <xf numFmtId="0" fontId="0" fillId="11" borderId="74" xfId="0" applyNumberFormat="1" applyFill="1" applyBorder="1" applyAlignment="1">
      <alignment horizontal="center" vertical="center"/>
    </xf>
    <xf numFmtId="49" fontId="0" fillId="11" borderId="73" xfId="0" applyNumberFormat="1" applyFill="1" applyBorder="1" applyAlignment="1">
      <alignment horizontal="center" vertical="center"/>
    </xf>
    <xf numFmtId="49" fontId="0" fillId="11" borderId="74" xfId="0" applyNumberFormat="1" applyFill="1" applyBorder="1" applyAlignment="1">
      <alignment horizontal="center" vertical="center"/>
    </xf>
    <xf numFmtId="0" fontId="0" fillId="12" borderId="73" xfId="0" applyNumberFormat="1" applyFill="1" applyBorder="1" applyAlignment="1">
      <alignment horizontal="center" vertical="center"/>
    </xf>
    <xf numFmtId="0" fontId="0" fillId="12" borderId="74" xfId="0" applyNumberFormat="1" applyFill="1" applyBorder="1" applyAlignment="1">
      <alignment horizontal="center" vertical="center"/>
    </xf>
    <xf numFmtId="0" fontId="0" fillId="14" borderId="73" xfId="0" applyNumberFormat="1" applyFill="1" applyBorder="1" applyAlignment="1">
      <alignment horizontal="center" vertical="center"/>
    </xf>
    <xf numFmtId="0" fontId="0" fillId="14" borderId="74" xfId="0" applyNumberFormat="1" applyFill="1" applyBorder="1" applyAlignment="1">
      <alignment horizontal="center" vertical="center"/>
    </xf>
    <xf numFmtId="49" fontId="0" fillId="14" borderId="73" xfId="0" applyNumberFormat="1" applyFill="1" applyBorder="1" applyAlignment="1">
      <alignment horizontal="center" vertical="center"/>
    </xf>
    <xf numFmtId="49" fontId="0" fillId="14" borderId="74" xfId="0" applyNumberFormat="1" applyFill="1" applyBorder="1" applyAlignment="1">
      <alignment horizontal="center" vertical="center"/>
    </xf>
    <xf numFmtId="0" fontId="0" fillId="15" borderId="73" xfId="0" applyNumberFormat="1" applyFill="1" applyBorder="1" applyAlignment="1">
      <alignment horizontal="center" vertical="center"/>
    </xf>
    <xf numFmtId="0" fontId="0" fillId="15" borderId="74" xfId="0" applyNumberFormat="1" applyFill="1" applyBorder="1" applyAlignment="1">
      <alignment horizontal="center" vertical="center"/>
    </xf>
    <xf numFmtId="49" fontId="0" fillId="15" borderId="73" xfId="0" applyNumberFormat="1" applyFill="1" applyBorder="1" applyAlignment="1">
      <alignment horizontal="center" vertical="center"/>
    </xf>
    <xf numFmtId="49" fontId="0" fillId="15" borderId="74" xfId="0" applyNumberFormat="1" applyFill="1" applyBorder="1" applyAlignment="1">
      <alignment horizontal="center" vertical="center"/>
    </xf>
    <xf numFmtId="0" fontId="0" fillId="24" borderId="14" xfId="0" quotePrefix="1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69" xfId="0" applyFill="1" applyBorder="1" applyAlignment="1">
      <alignment horizontal="center" vertical="center"/>
    </xf>
    <xf numFmtId="0" fontId="0" fillId="24" borderId="12" xfId="0" quotePrefix="1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51" xfId="0" applyFill="1" applyBorder="1" applyAlignment="1">
      <alignment horizontal="center" vertical="center"/>
    </xf>
    <xf numFmtId="0" fontId="0" fillId="25" borderId="14" xfId="0" quotePrefix="1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25" borderId="12" xfId="0" quotePrefix="1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49" fontId="0" fillId="27" borderId="1" xfId="0" applyNumberFormat="1" applyFill="1" applyBorder="1" applyAlignment="1">
      <alignment horizontal="center" vertical="center"/>
    </xf>
    <xf numFmtId="49" fontId="0" fillId="27" borderId="14" xfId="0" applyNumberFormat="1" applyFill="1" applyBorder="1" applyAlignment="1">
      <alignment horizontal="center" vertical="center"/>
    </xf>
    <xf numFmtId="49" fontId="0" fillId="27" borderId="12" xfId="0" applyNumberFormat="1" applyFill="1" applyBorder="1" applyAlignment="1">
      <alignment horizontal="center" vertical="center"/>
    </xf>
    <xf numFmtId="49" fontId="0" fillId="27" borderId="13" xfId="0" applyNumberFormat="1" applyFill="1" applyBorder="1" applyAlignment="1">
      <alignment horizontal="center" vertical="center"/>
    </xf>
    <xf numFmtId="49" fontId="0" fillId="27" borderId="18" xfId="0" applyNumberFormat="1" applyFill="1" applyBorder="1" applyAlignment="1">
      <alignment horizontal="center" vertical="center"/>
    </xf>
    <xf numFmtId="49" fontId="0" fillId="27" borderId="19" xfId="0" applyNumberFormat="1" applyFill="1" applyBorder="1" applyAlignment="1">
      <alignment horizontal="center" vertical="center"/>
    </xf>
    <xf numFmtId="49" fontId="0" fillId="27" borderId="20" xfId="0" applyNumberFormat="1" applyFill="1" applyBorder="1" applyAlignment="1">
      <alignment horizontal="center" vertical="center"/>
    </xf>
    <xf numFmtId="49" fontId="0" fillId="27" borderId="16" xfId="0" applyNumberFormat="1" applyFill="1" applyBorder="1" applyAlignment="1">
      <alignment horizontal="center" vertical="center"/>
    </xf>
    <xf numFmtId="49" fontId="0" fillId="27" borderId="17" xfId="0" applyNumberFormat="1" applyFill="1" applyBorder="1" applyAlignment="1">
      <alignment horizontal="center" vertical="center"/>
    </xf>
    <xf numFmtId="49" fontId="0" fillId="27" borderId="9" xfId="0" applyNumberFormat="1" applyFill="1" applyBorder="1" applyAlignment="1">
      <alignment horizontal="center" vertical="center"/>
    </xf>
    <xf numFmtId="49" fontId="0" fillId="27" borderId="2" xfId="0" applyNumberFormat="1" applyFill="1" applyBorder="1" applyAlignment="1">
      <alignment horizontal="center" vertical="center"/>
    </xf>
    <xf numFmtId="49" fontId="0" fillId="27" borderId="3" xfId="0" applyNumberFormat="1" applyFill="1" applyBorder="1" applyAlignment="1">
      <alignment horizontal="center" vertical="center"/>
    </xf>
    <xf numFmtId="49" fontId="0" fillId="27" borderId="10" xfId="0" applyNumberFormat="1" applyFill="1" applyBorder="1" applyAlignment="1">
      <alignment horizontal="center" vertical="center"/>
    </xf>
    <xf numFmtId="49" fontId="0" fillId="27" borderId="4" xfId="0" applyNumberForma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5" borderId="55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2" fillId="0" borderId="0" xfId="0" quotePrefix="1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quotePrefix="1" applyNumberFormat="1" applyFont="1" applyFill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2" xfId="0" quotePrefix="1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0" fillId="0" borderId="43" xfId="0" applyNumberFormat="1" applyBorder="1" applyAlignment="1">
      <alignment horizontal="center" vertical="center"/>
    </xf>
    <xf numFmtId="0" fontId="0" fillId="7" borderId="11" xfId="0" quotePrefix="1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11" borderId="11" xfId="0" applyNumberFormat="1" applyFill="1" applyBorder="1" applyAlignment="1">
      <alignment horizontal="center" vertical="center"/>
    </xf>
    <xf numFmtId="0" fontId="0" fillId="11" borderId="12" xfId="0" applyNumberFormat="1" applyFill="1" applyBorder="1" applyAlignment="1">
      <alignment horizontal="center" vertical="center"/>
    </xf>
    <xf numFmtId="0" fontId="0" fillId="11" borderId="13" xfId="0" applyNumberFormat="1" applyFill="1" applyBorder="1" applyAlignment="1">
      <alignment horizontal="center" vertical="center"/>
    </xf>
    <xf numFmtId="0" fontId="0" fillId="12" borderId="14" xfId="0" applyNumberFormat="1" applyFill="1" applyBorder="1" applyAlignment="1">
      <alignment horizontal="center" vertical="center"/>
    </xf>
    <xf numFmtId="0" fontId="0" fillId="12" borderId="12" xfId="0" applyNumberFormat="1" applyFill="1" applyBorder="1" applyAlignment="1">
      <alignment horizontal="center" vertical="center"/>
    </xf>
    <xf numFmtId="0" fontId="0" fillId="12" borderId="75" xfId="0" applyNumberFormat="1" applyFill="1" applyBorder="1" applyAlignment="1">
      <alignment horizontal="center" vertical="center"/>
    </xf>
    <xf numFmtId="0" fontId="0" fillId="14" borderId="11" xfId="0" applyNumberFormat="1" applyFill="1" applyBorder="1" applyAlignment="1">
      <alignment horizontal="center" vertical="center"/>
    </xf>
    <xf numFmtId="0" fontId="0" fillId="14" borderId="12" xfId="0" applyNumberFormat="1" applyFill="1" applyBorder="1" applyAlignment="1">
      <alignment horizontal="center" vertical="center"/>
    </xf>
    <xf numFmtId="0" fontId="0" fillId="14" borderId="13" xfId="0" applyNumberFormat="1" applyFill="1" applyBorder="1" applyAlignment="1">
      <alignment horizontal="center" vertical="center"/>
    </xf>
    <xf numFmtId="0" fontId="0" fillId="15" borderId="11" xfId="0" applyNumberFormat="1" applyFill="1" applyBorder="1" applyAlignment="1">
      <alignment horizontal="center" vertical="center"/>
    </xf>
    <xf numFmtId="0" fontId="0" fillId="15" borderId="12" xfId="0" applyNumberFormat="1" applyFill="1" applyBorder="1" applyAlignment="1">
      <alignment horizontal="center" vertical="center"/>
    </xf>
    <xf numFmtId="49" fontId="0" fillId="15" borderId="12" xfId="0" applyNumberFormat="1" applyFill="1" applyBorder="1" applyAlignment="1">
      <alignment horizontal="center" vertical="center"/>
    </xf>
    <xf numFmtId="0" fontId="0" fillId="15" borderId="13" xfId="0" applyNumberFormat="1" applyFill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0" fontId="0" fillId="0" borderId="39" xfId="0" applyNumberFormat="1" applyBorder="1" applyAlignment="1">
      <alignment horizontal="center" vertical="center"/>
    </xf>
    <xf numFmtId="0" fontId="0" fillId="0" borderId="40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49" fontId="0" fillId="3" borderId="26" xfId="0" applyNumberFormat="1" applyFill="1" applyBorder="1" applyAlignment="1">
      <alignment horizontal="center" vertical="center"/>
    </xf>
    <xf numFmtId="49" fontId="0" fillId="3" borderId="27" xfId="0" applyNumberFormat="1" applyFill="1" applyBorder="1" applyAlignment="1">
      <alignment horizontal="center" vertical="center"/>
    </xf>
    <xf numFmtId="49" fontId="0" fillId="3" borderId="28" xfId="0" applyNumberFormat="1" applyFill="1" applyBorder="1" applyAlignment="1">
      <alignment horizontal="center" vertical="center"/>
    </xf>
    <xf numFmtId="49" fontId="0" fillId="3" borderId="29" xfId="0" applyNumberFormat="1" applyFill="1" applyBorder="1" applyAlignment="1">
      <alignment horizontal="center" vertical="center"/>
    </xf>
    <xf numFmtId="49" fontId="0" fillId="3" borderId="30" xfId="0" applyNumberFormat="1" applyFill="1" applyBorder="1" applyAlignment="1">
      <alignment horizontal="center" vertical="center"/>
    </xf>
    <xf numFmtId="49" fontId="0" fillId="3" borderId="31" xfId="0" applyNumberFormat="1" applyFill="1" applyBorder="1" applyAlignment="1">
      <alignment horizontal="center" vertical="center"/>
    </xf>
    <xf numFmtId="49" fontId="0" fillId="22" borderId="55" xfId="0" applyNumberFormat="1" applyFill="1" applyBorder="1" applyAlignment="1">
      <alignment horizontal="center" vertical="center"/>
    </xf>
    <xf numFmtId="0" fontId="0" fillId="22" borderId="36" xfId="0" applyNumberFormat="1" applyFill="1" applyBorder="1" applyAlignment="1">
      <alignment horizontal="center" vertical="center"/>
    </xf>
    <xf numFmtId="0" fontId="0" fillId="22" borderId="6" xfId="0" applyNumberFormat="1" applyFill="1" applyBorder="1" applyAlignment="1">
      <alignment horizontal="center" vertical="center"/>
    </xf>
    <xf numFmtId="0" fontId="0" fillId="22" borderId="7" xfId="0" applyNumberFormat="1" applyFill="1" applyBorder="1" applyAlignment="1">
      <alignment horizontal="center" vertical="center"/>
    </xf>
    <xf numFmtId="0" fontId="0" fillId="22" borderId="8" xfId="0" applyNumberFormat="1" applyFill="1" applyBorder="1" applyAlignment="1">
      <alignment horizontal="center" vertical="center"/>
    </xf>
    <xf numFmtId="49" fontId="0" fillId="22" borderId="53" xfId="0" applyNumberFormat="1" applyFill="1" applyBorder="1" applyAlignment="1">
      <alignment horizontal="center" vertical="center"/>
    </xf>
    <xf numFmtId="0" fontId="0" fillId="22" borderId="37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49" fontId="0" fillId="3" borderId="14" xfId="0" applyNumberFormat="1" applyFill="1" applyBorder="1" applyAlignment="1">
      <alignment horizontal="center" vertical="center"/>
    </xf>
    <xf numFmtId="49" fontId="0" fillId="3" borderId="12" xfId="0" applyNumberFormat="1" applyFill="1" applyBorder="1" applyAlignment="1">
      <alignment horizontal="center" vertical="center"/>
    </xf>
    <xf numFmtId="49" fontId="0" fillId="3" borderId="13" xfId="0" applyNumberFormat="1" applyFill="1" applyBorder="1" applyAlignment="1">
      <alignment horizontal="center" vertical="center"/>
    </xf>
    <xf numFmtId="49" fontId="0" fillId="13" borderId="11" xfId="0" applyNumberFormat="1" applyFill="1" applyBorder="1" applyAlignment="1">
      <alignment horizontal="center" vertical="center"/>
    </xf>
    <xf numFmtId="49" fontId="0" fillId="13" borderId="12" xfId="0" applyNumberFormat="1" applyFill="1" applyBorder="1" applyAlignment="1">
      <alignment horizontal="center" vertical="center"/>
    </xf>
    <xf numFmtId="49" fontId="0" fillId="13" borderId="13" xfId="0" applyNumberFormat="1" applyFill="1" applyBorder="1" applyAlignment="1">
      <alignment horizontal="center" vertical="center"/>
    </xf>
    <xf numFmtId="49" fontId="0" fillId="26" borderId="11" xfId="0" applyNumberFormat="1" applyFill="1" applyBorder="1" applyAlignment="1">
      <alignment horizontal="center" vertical="center"/>
    </xf>
    <xf numFmtId="49" fontId="0" fillId="26" borderId="12" xfId="0" applyNumberFormat="1" applyFill="1" applyBorder="1" applyAlignment="1">
      <alignment horizontal="center" vertical="center"/>
    </xf>
    <xf numFmtId="49" fontId="0" fillId="26" borderId="13" xfId="0" applyNumberFormat="1" applyFill="1" applyBorder="1" applyAlignment="1">
      <alignment horizontal="center" vertical="center"/>
    </xf>
    <xf numFmtId="49" fontId="0" fillId="20" borderId="11" xfId="0" applyNumberFormat="1" applyFill="1" applyBorder="1" applyAlignment="1">
      <alignment horizontal="center" vertical="center"/>
    </xf>
    <xf numFmtId="49" fontId="0" fillId="20" borderId="12" xfId="0" applyNumberFormat="1" applyFill="1" applyBorder="1" applyAlignment="1">
      <alignment horizontal="center" vertical="center"/>
    </xf>
    <xf numFmtId="49" fontId="0" fillId="20" borderId="13" xfId="0" applyNumberFormat="1" applyFill="1" applyBorder="1" applyAlignment="1">
      <alignment horizontal="center" vertical="center"/>
    </xf>
    <xf numFmtId="49" fontId="0" fillId="25" borderId="7" xfId="0" applyNumberFormat="1" applyFill="1" applyBorder="1" applyAlignment="1">
      <alignment horizontal="center" vertical="center"/>
    </xf>
    <xf numFmtId="49" fontId="0" fillId="25" borderId="8" xfId="0" applyNumberFormat="1" applyFill="1" applyBorder="1" applyAlignment="1">
      <alignment horizontal="center" vertical="center"/>
    </xf>
    <xf numFmtId="49" fontId="0" fillId="24" borderId="11" xfId="0" applyNumberFormat="1" applyFill="1" applyBorder="1" applyAlignment="1">
      <alignment horizontal="center" vertical="center"/>
    </xf>
    <xf numFmtId="49" fontId="0" fillId="24" borderId="12" xfId="0" applyNumberFormat="1" applyFill="1" applyBorder="1" applyAlignment="1">
      <alignment horizontal="center" vertical="center"/>
    </xf>
    <xf numFmtId="49" fontId="0" fillId="24" borderId="13" xfId="0" applyNumberFormat="1" applyFill="1" applyBorder="1" applyAlignment="1">
      <alignment horizontal="center" vertical="center"/>
    </xf>
    <xf numFmtId="49" fontId="0" fillId="10" borderId="11" xfId="0" applyNumberFormat="1" applyFill="1" applyBorder="1" applyAlignment="1">
      <alignment horizontal="center" vertical="center"/>
    </xf>
    <xf numFmtId="49" fontId="0" fillId="10" borderId="12" xfId="0" applyNumberFormat="1" applyFill="1" applyBorder="1" applyAlignment="1">
      <alignment horizontal="center" vertical="center"/>
    </xf>
    <xf numFmtId="49" fontId="0" fillId="10" borderId="13" xfId="0" applyNumberFormat="1" applyFill="1" applyBorder="1" applyAlignment="1">
      <alignment horizontal="center" vertical="center"/>
    </xf>
    <xf numFmtId="49" fontId="0" fillId="4" borderId="11" xfId="0" applyNumberFormat="1" applyFill="1" applyBorder="1" applyAlignment="1">
      <alignment horizontal="center" vertical="center"/>
    </xf>
    <xf numFmtId="49" fontId="0" fillId="4" borderId="12" xfId="0" applyNumberFormat="1" applyFill="1" applyBorder="1" applyAlignment="1">
      <alignment horizontal="center" vertical="center"/>
    </xf>
    <xf numFmtId="49" fontId="0" fillId="4" borderId="13" xfId="0" applyNumberFormat="1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7" fillId="0" borderId="38" xfId="1" applyBorder="1" applyAlignment="1">
      <alignment horizontal="center" vertical="center"/>
    </xf>
    <xf numFmtId="0" fontId="7" fillId="0" borderId="39" xfId="1" applyBorder="1" applyAlignment="1">
      <alignment horizontal="center" vertical="center"/>
    </xf>
    <xf numFmtId="0" fontId="7" fillId="0" borderId="40" xfId="1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9" xfId="0" applyNumberFormat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0" fontId="2" fillId="0" borderId="54" xfId="0" applyNumberFormat="1" applyFont="1" applyFill="1" applyBorder="1" applyAlignment="1">
      <alignment horizontal="center" vertical="center" wrapText="1"/>
    </xf>
    <xf numFmtId="0" fontId="2" fillId="0" borderId="67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0" fontId="2" fillId="0" borderId="55" xfId="0" applyNumberFormat="1" applyFont="1" applyFill="1" applyBorder="1" applyAlignment="1">
      <alignment horizontal="center" vertical="center" wrapText="1"/>
    </xf>
    <xf numFmtId="0" fontId="2" fillId="0" borderId="46" xfId="0" applyNumberFormat="1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0" fontId="0" fillId="5" borderId="26" xfId="0" applyFill="1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5" borderId="38" xfId="0" applyFill="1" applyBorder="1" applyAlignment="1">
      <alignment horizontal="center" vertical="center"/>
    </xf>
    <xf numFmtId="0" fontId="0" fillId="24" borderId="7" xfId="0" applyFill="1" applyBorder="1" applyAlignment="1">
      <alignment horizontal="center" vertical="center"/>
    </xf>
    <xf numFmtId="0" fontId="0" fillId="24" borderId="8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6" borderId="41" xfId="0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 vertical="center" wrapText="1"/>
    </xf>
    <xf numFmtId="0" fontId="2" fillId="0" borderId="68" xfId="0" applyNumberFormat="1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wrapText="1"/>
    </xf>
    <xf numFmtId="0" fontId="0" fillId="6" borderId="26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3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auto="1"/>
      </font>
      <fill>
        <patternFill>
          <bgColor rgb="FF00BE00"/>
        </patternFill>
      </fill>
    </dxf>
    <dxf>
      <fill>
        <patternFill>
          <bgColor rgb="FF2121FF"/>
        </patternFill>
      </fill>
    </dxf>
    <dxf>
      <fill>
        <patternFill>
          <bgColor rgb="FFFF6600"/>
        </patternFill>
      </fill>
    </dxf>
    <dxf>
      <fill>
        <patternFill>
          <bgColor rgb="FF7F00FF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E00"/>
        </patternFill>
      </fill>
    </dxf>
    <dxf>
      <fill>
        <patternFill>
          <bgColor rgb="FF2121FF"/>
        </patternFill>
      </fill>
    </dxf>
    <dxf>
      <fill>
        <patternFill>
          <bgColor rgb="FFFF6600"/>
        </patternFill>
      </fill>
    </dxf>
    <dxf>
      <fill>
        <patternFill>
          <bgColor rgb="FF7F00FF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E00"/>
        </patternFill>
      </fill>
    </dxf>
    <dxf>
      <fill>
        <patternFill>
          <bgColor rgb="FF2121FF"/>
        </patternFill>
      </fill>
    </dxf>
    <dxf>
      <fill>
        <patternFill>
          <bgColor rgb="FFFF6600"/>
        </patternFill>
      </fill>
    </dxf>
    <dxf>
      <fill>
        <patternFill>
          <bgColor rgb="FF7F00FF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7401"/>
      <color rgb="FF964700"/>
      <color rgb="FF703500"/>
      <color rgb="FF2121FF"/>
      <color rgb="FF00BE00"/>
      <color rgb="FF217F21"/>
      <color rgb="FF21FF21"/>
      <color rgb="FF0000D6"/>
      <color rgb="FFFF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31</xdr:row>
      <xdr:rowOff>0</xdr:rowOff>
    </xdr:from>
    <xdr:to>
      <xdr:col>17</xdr:col>
      <xdr:colOff>353786</xdr:colOff>
      <xdr:row>33</xdr:row>
      <xdr:rowOff>0</xdr:rowOff>
    </xdr:to>
    <xdr:cxnSp macro="">
      <xdr:nvCxnSpPr>
        <xdr:cNvPr id="2" name="Connecteur droit 1"/>
        <xdr:cNvCxnSpPr/>
      </xdr:nvCxnSpPr>
      <xdr:spPr>
        <a:xfrm>
          <a:off x="10172700" y="6134100"/>
          <a:ext cx="353786" cy="400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43</xdr:row>
      <xdr:rowOff>0</xdr:rowOff>
    </xdr:from>
    <xdr:to>
      <xdr:col>17</xdr:col>
      <xdr:colOff>367393</xdr:colOff>
      <xdr:row>44</xdr:row>
      <xdr:rowOff>190500</xdr:rowOff>
    </xdr:to>
    <xdr:cxnSp macro="">
      <xdr:nvCxnSpPr>
        <xdr:cNvPr id="3" name="Connecteur droit 2"/>
        <xdr:cNvCxnSpPr/>
      </xdr:nvCxnSpPr>
      <xdr:spPr>
        <a:xfrm>
          <a:off x="10172700" y="8515350"/>
          <a:ext cx="367393" cy="390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47</xdr:row>
      <xdr:rowOff>13608</xdr:rowOff>
    </xdr:from>
    <xdr:to>
      <xdr:col>17</xdr:col>
      <xdr:colOff>367393</xdr:colOff>
      <xdr:row>48</xdr:row>
      <xdr:rowOff>176893</xdr:rowOff>
    </xdr:to>
    <xdr:cxnSp macro="">
      <xdr:nvCxnSpPr>
        <xdr:cNvPr id="4" name="Connecteur droit 3"/>
        <xdr:cNvCxnSpPr/>
      </xdr:nvCxnSpPr>
      <xdr:spPr>
        <a:xfrm flipV="1">
          <a:off x="10172700" y="9329058"/>
          <a:ext cx="367393" cy="3633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16</xdr:row>
      <xdr:rowOff>190500</xdr:rowOff>
    </xdr:from>
    <xdr:to>
      <xdr:col>21</xdr:col>
      <xdr:colOff>0</xdr:colOff>
      <xdr:row>21</xdr:row>
      <xdr:rowOff>193887</xdr:rowOff>
    </xdr:to>
    <xdr:cxnSp macro="">
      <xdr:nvCxnSpPr>
        <xdr:cNvPr id="5" name="Connecteur droit 4"/>
        <xdr:cNvCxnSpPr/>
      </xdr:nvCxnSpPr>
      <xdr:spPr>
        <a:xfrm flipV="1">
          <a:off x="10980964" y="3442607"/>
          <a:ext cx="762000" cy="102392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28</xdr:row>
      <xdr:rowOff>149679</xdr:rowOff>
    </xdr:from>
    <xdr:to>
      <xdr:col>24</xdr:col>
      <xdr:colOff>0</xdr:colOff>
      <xdr:row>39</xdr:row>
      <xdr:rowOff>171643</xdr:rowOff>
    </xdr:to>
    <xdr:cxnSp macro="">
      <xdr:nvCxnSpPr>
        <xdr:cNvPr id="6" name="Connecteur droit 5"/>
        <xdr:cNvCxnSpPr/>
      </xdr:nvCxnSpPr>
      <xdr:spPr>
        <a:xfrm flipV="1">
          <a:off x="16383000" y="5783036"/>
          <a:ext cx="762000" cy="223992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</xdr:colOff>
      <xdr:row>10</xdr:row>
      <xdr:rowOff>1</xdr:rowOff>
    </xdr:from>
    <xdr:to>
      <xdr:col>21</xdr:col>
      <xdr:colOff>0</xdr:colOff>
      <xdr:row>15</xdr:row>
      <xdr:rowOff>68035</xdr:rowOff>
    </xdr:to>
    <xdr:cxnSp macro="">
      <xdr:nvCxnSpPr>
        <xdr:cNvPr id="7" name="Connecteur droit 6"/>
        <xdr:cNvCxnSpPr/>
      </xdr:nvCxnSpPr>
      <xdr:spPr>
        <a:xfrm flipH="1" flipV="1">
          <a:off x="11658602" y="1971676"/>
          <a:ext cx="380998" cy="10586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</xdr:colOff>
      <xdr:row>16</xdr:row>
      <xdr:rowOff>0</xdr:rowOff>
    </xdr:from>
    <xdr:to>
      <xdr:col>24</xdr:col>
      <xdr:colOff>0</xdr:colOff>
      <xdr:row>27</xdr:row>
      <xdr:rowOff>54429</xdr:rowOff>
    </xdr:to>
    <xdr:cxnSp macro="">
      <xdr:nvCxnSpPr>
        <xdr:cNvPr id="8" name="Connecteur droit 7"/>
        <xdr:cNvCxnSpPr/>
      </xdr:nvCxnSpPr>
      <xdr:spPr>
        <a:xfrm flipH="1" flipV="1">
          <a:off x="12845144" y="3252107"/>
          <a:ext cx="761999" cy="22996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353786</xdr:colOff>
      <xdr:row>21</xdr:row>
      <xdr:rowOff>1</xdr:rowOff>
    </xdr:to>
    <xdr:cxnSp macro="">
      <xdr:nvCxnSpPr>
        <xdr:cNvPr id="9" name="Connecteur droit 8"/>
        <xdr:cNvCxnSpPr/>
      </xdr:nvCxnSpPr>
      <xdr:spPr>
        <a:xfrm>
          <a:off x="10172700" y="3752850"/>
          <a:ext cx="353786" cy="40005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353786</xdr:colOff>
      <xdr:row>9</xdr:row>
      <xdr:rowOff>1</xdr:rowOff>
    </xdr:to>
    <xdr:cxnSp macro="">
      <xdr:nvCxnSpPr>
        <xdr:cNvPr id="10" name="Connecteur droit 9"/>
        <xdr:cNvCxnSpPr>
          <a:cxnSpLocks/>
        </xdr:cNvCxnSpPr>
      </xdr:nvCxnSpPr>
      <xdr:spPr>
        <a:xfrm>
          <a:off x="10172700" y="1371600"/>
          <a:ext cx="353786" cy="40005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35</xdr:row>
      <xdr:rowOff>0</xdr:rowOff>
    </xdr:from>
    <xdr:to>
      <xdr:col>17</xdr:col>
      <xdr:colOff>367393</xdr:colOff>
      <xdr:row>36</xdr:row>
      <xdr:rowOff>163286</xdr:rowOff>
    </xdr:to>
    <xdr:cxnSp macro="">
      <xdr:nvCxnSpPr>
        <xdr:cNvPr id="11" name="Connecteur droit 10"/>
        <xdr:cNvCxnSpPr/>
      </xdr:nvCxnSpPr>
      <xdr:spPr>
        <a:xfrm flipV="1">
          <a:off x="10172700" y="6934200"/>
          <a:ext cx="367393" cy="3633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367393</xdr:colOff>
      <xdr:row>24</xdr:row>
      <xdr:rowOff>163286</xdr:rowOff>
    </xdr:to>
    <xdr:cxnSp macro="">
      <xdr:nvCxnSpPr>
        <xdr:cNvPr id="12" name="Connecteur droit 11"/>
        <xdr:cNvCxnSpPr/>
      </xdr:nvCxnSpPr>
      <xdr:spPr>
        <a:xfrm flipV="1">
          <a:off x="10172700" y="4552950"/>
          <a:ext cx="367393" cy="3633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367393</xdr:colOff>
      <xdr:row>12</xdr:row>
      <xdr:rowOff>163286</xdr:rowOff>
    </xdr:to>
    <xdr:cxnSp macro="">
      <xdr:nvCxnSpPr>
        <xdr:cNvPr id="13" name="Connecteur droit 12"/>
        <xdr:cNvCxnSpPr/>
      </xdr:nvCxnSpPr>
      <xdr:spPr>
        <a:xfrm flipV="1">
          <a:off x="10172700" y="2171700"/>
          <a:ext cx="367393" cy="3633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329293</xdr:colOff>
      <xdr:row>41</xdr:row>
      <xdr:rowOff>27214</xdr:rowOff>
    </xdr:from>
    <xdr:to>
      <xdr:col>20</xdr:col>
      <xdr:colOff>748393</xdr:colOff>
      <xdr:row>46</xdr:row>
      <xdr:rowOff>30601</xdr:rowOff>
    </xdr:to>
    <xdr:cxnSp macro="">
      <xdr:nvCxnSpPr>
        <xdr:cNvPr id="14" name="Connecteur droit 13"/>
        <xdr:cNvCxnSpPr/>
      </xdr:nvCxnSpPr>
      <xdr:spPr>
        <a:xfrm flipV="1">
          <a:off x="9718222" y="8368393"/>
          <a:ext cx="759278" cy="102392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</xdr:colOff>
      <xdr:row>34</xdr:row>
      <xdr:rowOff>2</xdr:rowOff>
    </xdr:from>
    <xdr:to>
      <xdr:col>21</xdr:col>
      <xdr:colOff>0</xdr:colOff>
      <xdr:row>39</xdr:row>
      <xdr:rowOff>81642</xdr:rowOff>
    </xdr:to>
    <xdr:cxnSp macro="">
      <xdr:nvCxnSpPr>
        <xdr:cNvPr id="15" name="Connecteur droit 14"/>
        <xdr:cNvCxnSpPr/>
      </xdr:nvCxnSpPr>
      <xdr:spPr>
        <a:xfrm flipH="1" flipV="1">
          <a:off x="13253358" y="6858002"/>
          <a:ext cx="761999" cy="108856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B1:IH168"/>
  <sheetViews>
    <sheetView showGridLines="0" topLeftCell="A5" zoomScale="66" zoomScaleNormal="66" workbookViewId="0">
      <selection activeCell="L23" sqref="L23"/>
    </sheetView>
  </sheetViews>
  <sheetFormatPr baseColWidth="10" defaultRowHeight="15.75" customHeight="1" x14ac:dyDescent="0.25"/>
  <cols>
    <col min="1" max="2" width="13" style="1" customWidth="1"/>
    <col min="3" max="3" width="13" style="3" customWidth="1"/>
    <col min="4" max="10" width="13" style="1" customWidth="1"/>
    <col min="11" max="19" width="13" style="3" customWidth="1"/>
    <col min="20" max="34" width="12.5703125" style="3" hidden="1" customWidth="1"/>
    <col min="35" max="35" width="12.5703125" style="40" hidden="1" customWidth="1"/>
    <col min="36" max="57" width="12.5703125" style="3" hidden="1" customWidth="1"/>
    <col min="58" max="59" width="12.5703125" style="40" hidden="1" customWidth="1"/>
    <col min="60" max="60" width="12.5703125" style="3" hidden="1" customWidth="1"/>
    <col min="61" max="61" width="12.5703125" style="40" hidden="1" customWidth="1"/>
    <col min="62" max="62" width="12.5703125" style="3" hidden="1" customWidth="1"/>
    <col min="63" max="63" width="12.5703125" style="40" hidden="1" customWidth="1"/>
    <col min="64" max="64" width="12.5703125" style="3" hidden="1" customWidth="1"/>
    <col min="65" max="65" width="12.5703125" style="40" hidden="1" customWidth="1"/>
    <col min="66" max="115" width="12.5703125" style="3" hidden="1" customWidth="1"/>
    <col min="116" max="116" width="12.5703125" style="71" hidden="1" customWidth="1"/>
    <col min="117" max="133" width="12.5703125" style="3" hidden="1" customWidth="1"/>
    <col min="134" max="135" width="12.5703125" style="3" customWidth="1"/>
    <col min="136" max="242" width="11.42578125" style="3"/>
    <col min="243" max="16384" width="11.42578125" style="1"/>
  </cols>
  <sheetData>
    <row r="1" spans="2:131" ht="15.75" customHeight="1" thickBot="1" x14ac:dyDescent="0.3">
      <c r="V1" s="525" t="s">
        <v>164</v>
      </c>
      <c r="W1" s="527"/>
    </row>
    <row r="2" spans="2:131" ht="15.75" customHeight="1" thickBot="1" x14ac:dyDescent="0.3">
      <c r="I2" s="525" t="str">
        <f ca="1">CONCATENATE("Coup d'envoi dans ", W3-V3, " Jours")</f>
        <v>Coup d'envoi dans 5 Jours</v>
      </c>
      <c r="J2" s="526"/>
      <c r="K2" s="527"/>
      <c r="V2" s="318">
        <f ca="1">TODAY()</f>
        <v>42526</v>
      </c>
      <c r="W2" s="319">
        <v>42531</v>
      </c>
    </row>
    <row r="3" spans="2:131" ht="15.75" customHeight="1" thickBot="1" x14ac:dyDescent="0.3">
      <c r="B3" s="531" t="s">
        <v>123</v>
      </c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3"/>
      <c r="S3" s="2"/>
      <c r="T3" s="2"/>
      <c r="V3" s="23">
        <f ca="1">TODAY()</f>
        <v>42526</v>
      </c>
      <c r="W3" s="24">
        <f>W2</f>
        <v>42531</v>
      </c>
      <c r="AR3" s="525" t="s">
        <v>104</v>
      </c>
      <c r="AS3" s="526"/>
      <c r="AT3" s="526"/>
      <c r="AU3" s="526"/>
      <c r="AV3" s="526"/>
      <c r="AW3" s="526"/>
      <c r="AX3" s="526"/>
      <c r="AY3" s="526"/>
      <c r="AZ3" s="526"/>
      <c r="BA3" s="526"/>
      <c r="BB3" s="526"/>
      <c r="BC3" s="526"/>
      <c r="BD3" s="526"/>
      <c r="BE3" s="527"/>
      <c r="BO3" s="525" t="s">
        <v>90</v>
      </c>
      <c r="BP3" s="526"/>
      <c r="BQ3" s="526"/>
      <c r="BR3" s="526"/>
      <c r="BS3" s="526"/>
      <c r="BT3" s="526"/>
      <c r="BU3" s="526"/>
      <c r="BV3" s="526"/>
      <c r="BW3" s="526"/>
      <c r="BX3" s="526"/>
      <c r="BY3" s="526"/>
      <c r="BZ3" s="526"/>
      <c r="CA3" s="526"/>
      <c r="CB3" s="527"/>
      <c r="CL3" s="525" t="s">
        <v>162</v>
      </c>
      <c r="CM3" s="526"/>
      <c r="CN3" s="526"/>
      <c r="CO3" s="526"/>
      <c r="CP3" s="526"/>
      <c r="CQ3" s="526"/>
      <c r="CR3" s="526"/>
      <c r="CS3" s="526"/>
      <c r="CT3" s="526"/>
      <c r="CU3" s="526"/>
      <c r="CV3" s="526"/>
      <c r="CW3" s="526"/>
      <c r="CX3" s="526"/>
      <c r="CY3" s="526"/>
      <c r="CZ3" s="527"/>
    </row>
    <row r="4" spans="2:131" ht="15.75" customHeight="1" thickBot="1" x14ac:dyDescent="0.3">
      <c r="B4" s="534"/>
      <c r="C4" s="535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  <c r="O4" s="535"/>
      <c r="P4" s="535"/>
      <c r="Q4" s="535"/>
      <c r="R4" s="536"/>
      <c r="S4" s="79"/>
      <c r="T4" s="79"/>
      <c r="DX4" s="45"/>
    </row>
    <row r="5" spans="2:131" s="3" customFormat="1" ht="15.75" customHeight="1" thickBot="1" x14ac:dyDescent="0.3">
      <c r="B5" s="557" t="s">
        <v>0</v>
      </c>
      <c r="C5" s="288" t="s">
        <v>20</v>
      </c>
      <c r="D5" s="347" t="str">
        <f>C6</f>
        <v>R. tchèque</v>
      </c>
      <c r="E5" s="348" t="str">
        <f>C7</f>
        <v>Islande</v>
      </c>
      <c r="F5" s="348" t="str">
        <f>C8</f>
        <v>Pays-Bas</v>
      </c>
      <c r="G5" s="348" t="str">
        <f>C9</f>
        <v>Turquie</v>
      </c>
      <c r="H5" s="348" t="str">
        <f>C10</f>
        <v>Lettonie</v>
      </c>
      <c r="I5" s="349" t="str">
        <f>C11</f>
        <v>Kazakhstan</v>
      </c>
      <c r="K5" s="545" t="s">
        <v>5</v>
      </c>
      <c r="L5" s="284" t="s">
        <v>20</v>
      </c>
      <c r="M5" s="285" t="str">
        <f>L6</f>
        <v>Irlande du Nord</v>
      </c>
      <c r="N5" s="286" t="str">
        <f>L7</f>
        <v>Roumanie</v>
      </c>
      <c r="O5" s="286" t="str">
        <f>L8</f>
        <v>Finlande</v>
      </c>
      <c r="P5" s="286" t="str">
        <f>L9</f>
        <v>Hongrie</v>
      </c>
      <c r="Q5" s="286" t="str">
        <f>L10</f>
        <v>Grèce</v>
      </c>
      <c r="R5" s="287" t="str">
        <f>L11</f>
        <v>Îles Féroé</v>
      </c>
      <c r="T5" s="45"/>
      <c r="U5" s="45"/>
      <c r="V5" s="18"/>
      <c r="W5" s="18"/>
      <c r="X5" s="18"/>
      <c r="Y5" s="18"/>
      <c r="Z5" s="18"/>
      <c r="AA5" s="18"/>
      <c r="AB5" s="3" t="s">
        <v>99</v>
      </c>
      <c r="AC5" s="34" t="str">
        <f t="shared" ref="AC5:AH5" si="0">D5</f>
        <v>R. tchèque</v>
      </c>
      <c r="AD5" s="32" t="str">
        <f t="shared" si="0"/>
        <v>Islande</v>
      </c>
      <c r="AE5" s="32" t="str">
        <f t="shared" si="0"/>
        <v>Pays-Bas</v>
      </c>
      <c r="AF5" s="32" t="str">
        <f t="shared" si="0"/>
        <v>Turquie</v>
      </c>
      <c r="AG5" s="32" t="str">
        <f t="shared" si="0"/>
        <v>Lettonie</v>
      </c>
      <c r="AH5" s="33" t="str">
        <f t="shared" si="0"/>
        <v>Kazakhstan</v>
      </c>
      <c r="AI5" s="36"/>
      <c r="AJ5" s="18"/>
      <c r="AQ5" s="45"/>
      <c r="AR5" s="45"/>
      <c r="AS5" s="45"/>
      <c r="AT5" s="45"/>
      <c r="AU5" s="45"/>
      <c r="AV5" s="45"/>
      <c r="AW5" s="45"/>
      <c r="AX5" s="45"/>
      <c r="AY5" s="45"/>
      <c r="AZ5" s="83" t="str">
        <f t="shared" ref="AZ5:BE5" si="1">D5</f>
        <v>R. tchèque</v>
      </c>
      <c r="BA5" s="84" t="str">
        <f t="shared" si="1"/>
        <v>Islande</v>
      </c>
      <c r="BB5" s="84" t="str">
        <f t="shared" si="1"/>
        <v>Pays-Bas</v>
      </c>
      <c r="BC5" s="84" t="str">
        <f t="shared" si="1"/>
        <v>Turquie</v>
      </c>
      <c r="BD5" s="84" t="str">
        <f t="shared" si="1"/>
        <v>Lettonie</v>
      </c>
      <c r="BE5" s="85" t="str">
        <f t="shared" si="1"/>
        <v>Kazakhstan</v>
      </c>
      <c r="BF5" s="77"/>
      <c r="BG5" s="77"/>
      <c r="BI5" s="77"/>
      <c r="BK5" s="77"/>
      <c r="BM5" s="77"/>
      <c r="BO5" s="35"/>
      <c r="BP5" s="18"/>
      <c r="BQ5" s="18"/>
      <c r="BR5" s="18"/>
      <c r="BS5" s="18"/>
      <c r="BT5" s="18"/>
      <c r="BU5" s="18"/>
      <c r="BV5" s="18"/>
      <c r="BW5" s="30" t="str">
        <f t="shared" ref="BW5:CB5" si="2">D5</f>
        <v>R. tchèque</v>
      </c>
      <c r="BX5" s="6" t="str">
        <f t="shared" si="2"/>
        <v>Islande</v>
      </c>
      <c r="BY5" s="6" t="str">
        <f t="shared" si="2"/>
        <v>Pays-Bas</v>
      </c>
      <c r="BZ5" s="6" t="str">
        <f t="shared" si="2"/>
        <v>Turquie</v>
      </c>
      <c r="CA5" s="6" t="str">
        <f t="shared" si="2"/>
        <v>Lettonie</v>
      </c>
      <c r="CB5" s="7" t="str">
        <f t="shared" si="2"/>
        <v>Kazakhstan</v>
      </c>
      <c r="CL5" s="35"/>
      <c r="CM5" s="30" t="str">
        <f t="shared" ref="CM5:CR5" si="3">D5</f>
        <v>R. tchèque</v>
      </c>
      <c r="CN5" s="6" t="str">
        <f t="shared" si="3"/>
        <v>Islande</v>
      </c>
      <c r="CO5" s="6" t="str">
        <f t="shared" si="3"/>
        <v>Pays-Bas</v>
      </c>
      <c r="CP5" s="6" t="str">
        <f t="shared" si="3"/>
        <v>Turquie</v>
      </c>
      <c r="CQ5" s="6" t="str">
        <f t="shared" si="3"/>
        <v>Lettonie</v>
      </c>
      <c r="CR5" s="7" t="str">
        <f t="shared" si="3"/>
        <v>Kazakhstan</v>
      </c>
      <c r="CT5" s="48"/>
      <c r="CU5" s="30" t="str">
        <f t="shared" ref="CU5:CZ5" si="4">D5</f>
        <v>R. tchèque</v>
      </c>
      <c r="CV5" s="6" t="str">
        <f t="shared" si="4"/>
        <v>Islande</v>
      </c>
      <c r="CW5" s="6" t="str">
        <f t="shared" si="4"/>
        <v>Pays-Bas</v>
      </c>
      <c r="CX5" s="6" t="str">
        <f t="shared" si="4"/>
        <v>Turquie</v>
      </c>
      <c r="CY5" s="6" t="str">
        <f t="shared" si="4"/>
        <v>Lettonie</v>
      </c>
      <c r="CZ5" s="7" t="str">
        <f t="shared" si="4"/>
        <v>Kazakhstan</v>
      </c>
      <c r="DC5" s="56" t="str">
        <f>CZ5</f>
        <v>Kazakhstan</v>
      </c>
      <c r="DD5" s="57" t="str">
        <f>CY5</f>
        <v>Lettonie</v>
      </c>
      <c r="DE5" s="57" t="str">
        <f>CX5</f>
        <v>Turquie</v>
      </c>
      <c r="DF5" s="57" t="str">
        <f>CW5</f>
        <v>Pays-Bas</v>
      </c>
      <c r="DG5" s="58" t="str">
        <f>CV5</f>
        <v>Islande</v>
      </c>
      <c r="DJ5" s="75" t="s">
        <v>86</v>
      </c>
      <c r="DK5" s="19" t="s">
        <v>94</v>
      </c>
      <c r="DL5" s="75" t="s">
        <v>96</v>
      </c>
      <c r="DM5" s="4" t="s">
        <v>86</v>
      </c>
      <c r="DR5" s="4" t="s">
        <v>99</v>
      </c>
      <c r="DS5" s="78"/>
    </row>
    <row r="6" spans="2:131" ht="15.75" customHeight="1" thickBot="1" x14ac:dyDescent="0.3">
      <c r="B6" s="557"/>
      <c r="C6" s="289" t="s">
        <v>19</v>
      </c>
      <c r="D6" s="248"/>
      <c r="E6" s="156" t="s">
        <v>23</v>
      </c>
      <c r="F6" s="156" t="s">
        <v>23</v>
      </c>
      <c r="G6" s="156" t="s">
        <v>32</v>
      </c>
      <c r="H6" s="156" t="s">
        <v>24</v>
      </c>
      <c r="I6" s="249" t="s">
        <v>23</v>
      </c>
      <c r="K6" s="546"/>
      <c r="L6" s="267" t="s">
        <v>61</v>
      </c>
      <c r="M6" s="166"/>
      <c r="N6" s="189" t="s">
        <v>13</v>
      </c>
      <c r="O6" s="189" t="s">
        <v>23</v>
      </c>
      <c r="P6" s="189" t="s">
        <v>24</v>
      </c>
      <c r="Q6" s="189" t="s">
        <v>25</v>
      </c>
      <c r="R6" s="190" t="s">
        <v>9</v>
      </c>
      <c r="U6" s="25" t="str">
        <f t="shared" ref="U6:U11" si="5">C6</f>
        <v>R. tchèque</v>
      </c>
      <c r="V6" s="26"/>
      <c r="W6" s="20">
        <f>IF(OR(E6="-",E6=""),0,IF(MID(E6,1,1)&gt;MID(E6,3,1),3,        IF(MID(E6,1,1)=MID(E6,3,1),1,         IF(MID(E6,1,1)&lt;MID(E6,3,1),0)        )))</f>
        <v>3</v>
      </c>
      <c r="X6" s="20">
        <f>IF(OR(F6="-",F6=""),0,IF(MID(F6,1,1)&gt;MID(F6,3,1),3,        IF(MID(F6,1,1)=MID(F6,3,1),1,         IF(MID(F6,1,1)&lt;MID(F6,3,1),0)        )))</f>
        <v>3</v>
      </c>
      <c r="Y6" s="20">
        <f>IF(OR(G6="-",G6=""),0,IF(MID(G6,1,1)&gt;MID(G6,3,1),3,        IF(MID(G6,1,1)=MID(G6,3,1),1,         IF(MID(G6,1,1)&lt;MID(G6,3,1),0)        )))</f>
        <v>0</v>
      </c>
      <c r="Z6" s="20">
        <f>IF(OR(H6="-",H6=""),0,IF(MID(H6,1,1)&gt;MID(H6,3,1),3,        IF(MID(H6,1,1)=MID(H6,3,1),1,         IF(MID(H6,1,1)&lt;MID(H6,3,1),0)        )))</f>
        <v>1</v>
      </c>
      <c r="AA6" s="21">
        <f>IF(OR(I6="-",I6=""),0,IF(MID(I6,1,1)&gt;MID(I6,3,1),3,        IF(MID(I6,1,1)=MID(I6,3,1),1,         IF(MID(I6,1,1)&lt;MID(I6,3,1),0)        )))</f>
        <v>3</v>
      </c>
      <c r="AB6" s="3">
        <v>1</v>
      </c>
      <c r="AC6" s="29"/>
      <c r="AD6" s="9">
        <f>IF(OR(E6="-",E6=""),0,IF(MID(E6,3,1)&gt;MID(E6,1,1),3,        IF(MID(E6,3,1)=MID(E6,1,1),1,         IF(MID(E6,3,1)&lt;MID(E6,1,1),0)        )))</f>
        <v>0</v>
      </c>
      <c r="AE6" s="9">
        <f>IF(OR(F6="-",F6=""),0,IF(MID(F6,3,1)&gt;MID(F6,1,1),3,        IF(MID(F6,3,1)=MID(F6,1,1),1,         IF(MID(F6,3,1)&lt;MID(F6,1,1),0)        )))</f>
        <v>0</v>
      </c>
      <c r="AF6" s="9">
        <f>IF(OR(G6="-",G6=""),0,IF(MID(G6,3,1)&gt;MID(G6,1,1),3,        IF(MID(G6,3,1)=MID(G6,1,1),1,         IF(MID(G6,3,1)&lt;MID(G6,1,1),0)        )))</f>
        <v>3</v>
      </c>
      <c r="AG6" s="9">
        <f>IF(OR(H6="-",H6=""),0,IF(MID(H6,3,1)&gt;MID(H6,1,1),3,        IF(MID(H6,3,1)=MID(H6,1,1),1,         IF(MID(H6,3,1)&lt;MID(H6,1,1),0)        )))</f>
        <v>1</v>
      </c>
      <c r="AH6" s="10">
        <f>IF(OR(I6="-",I6=""),0,IF(MID(I6,3,1)&gt;MID(I6,1,1),3,        IF(MID(I6,3,1)=MID(I6,1,1),1,         IF(MID(I6,3,1)&lt;MID(I6,1,1),0)        )))</f>
        <v>0</v>
      </c>
      <c r="AI6" s="36"/>
      <c r="AJ6" s="18"/>
      <c r="AK6" s="525" t="s">
        <v>94</v>
      </c>
      <c r="AL6" s="526"/>
      <c r="AM6" s="526"/>
      <c r="AN6" s="526"/>
      <c r="AO6" s="526"/>
      <c r="AP6" s="527"/>
      <c r="AQ6" s="18"/>
      <c r="AR6" s="25" t="str">
        <f t="shared" ref="AR6:AR11" si="6">C6</f>
        <v>R. tchèque</v>
      </c>
      <c r="AS6" s="26"/>
      <c r="AT6" s="81">
        <f>BQ6-BX6</f>
        <v>1</v>
      </c>
      <c r="AU6" s="81">
        <f>BR6-BY6</f>
        <v>1</v>
      </c>
      <c r="AV6" s="81">
        <f>BS6-BZ6</f>
        <v>-2</v>
      </c>
      <c r="AW6" s="81">
        <f>BT6-CA6</f>
        <v>0</v>
      </c>
      <c r="AX6" s="68">
        <f>BU6-CB6</f>
        <v>1</v>
      </c>
      <c r="AY6" s="45"/>
      <c r="AZ6" s="86"/>
      <c r="BA6" s="20">
        <f>BX6-BQ6</f>
        <v>-1</v>
      </c>
      <c r="BB6" s="20">
        <f>BY6-BR6</f>
        <v>-1</v>
      </c>
      <c r="BC6" s="20">
        <f>BZ6-BS6</f>
        <v>2</v>
      </c>
      <c r="BD6" s="20">
        <f>CA6-BT6</f>
        <v>0</v>
      </c>
      <c r="BE6" s="21">
        <f>CB6-BU6</f>
        <v>-1</v>
      </c>
      <c r="BF6" s="77"/>
      <c r="BO6" s="25" t="str">
        <f t="shared" ref="BO6:BO11" si="7">C6</f>
        <v>R. tchèque</v>
      </c>
      <c r="BP6" s="26"/>
      <c r="BQ6" s="20">
        <f>IF(OR(E6="-",E6=""),0,_xlfn.NUMBERVALUE(MID(E6,1,1)))</f>
        <v>2</v>
      </c>
      <c r="BR6" s="20">
        <f>IF(OR(F6="-",F6=""),0,_xlfn.NUMBERVALUE(MID(F6,1,1)))</f>
        <v>2</v>
      </c>
      <c r="BS6" s="20">
        <f>IF(OR(G6="-",G6=""),0,_xlfn.NUMBERVALUE(MID(G6,1,1)))</f>
        <v>0</v>
      </c>
      <c r="BT6" s="20">
        <f>IF(OR(H6="-",H6=""),0,_xlfn.NUMBERVALUE(MID(H6,1,1)))</f>
        <v>1</v>
      </c>
      <c r="BU6" s="21">
        <f>IF(OR(I6="-",I6=""),0,_xlfn.NUMBERVALUE(MID(I6,1,1)))</f>
        <v>2</v>
      </c>
      <c r="BV6" s="18"/>
      <c r="BW6" s="29"/>
      <c r="BX6" s="9">
        <f>IF(OR(E6="-",E6=""),0,_xlfn.NUMBERVALUE(MID(E6,3,1)))</f>
        <v>1</v>
      </c>
      <c r="BY6" s="9">
        <f>IF(OR(F6="-",F6=""),0,_xlfn.NUMBERVALUE(MID(F6,3,1)))</f>
        <v>1</v>
      </c>
      <c r="BZ6" s="9">
        <f>IF(OR(G6="-",G6=""),0,_xlfn.NUMBERVALUE(MID(G6,3,1)))</f>
        <v>2</v>
      </c>
      <c r="CA6" s="9">
        <f>IF(OR(H6="-",H6=""),0,_xlfn.NUMBERVALUE(MID(H6,3,1)))</f>
        <v>1</v>
      </c>
      <c r="CB6" s="10">
        <f>IF(OR(I6="-",I6=""),0,_xlfn.NUMBERVALUE(MID(I6,3,1)))</f>
        <v>1</v>
      </c>
      <c r="CE6" s="528" t="s">
        <v>90</v>
      </c>
      <c r="CF6" s="529"/>
      <c r="CG6" s="529"/>
      <c r="CH6" s="529"/>
      <c r="CI6" s="529"/>
      <c r="CJ6" s="530"/>
      <c r="CL6" s="25" t="str">
        <f t="shared" ref="CL6:CL11" si="8">C6</f>
        <v>R. tchèque</v>
      </c>
      <c r="CM6" s="46"/>
      <c r="CN6" s="9">
        <f>W6+AC7-(V7+AD6)</f>
        <v>0</v>
      </c>
      <c r="CO6" s="9">
        <f>X6+AC8-(V8+AE6)</f>
        <v>6</v>
      </c>
      <c r="CP6" s="9">
        <f>Y6+AC9-(V9+AF6)</f>
        <v>0</v>
      </c>
      <c r="CQ6" s="9">
        <f>Z6+AC10-(V10+AG6)</f>
        <v>3</v>
      </c>
      <c r="CR6" s="10">
        <f>AC11+AA6-(V11+AH6)</f>
        <v>6</v>
      </c>
      <c r="CT6" s="8" t="str">
        <f t="shared" ref="CT6:CT11" si="9">C6</f>
        <v>R. tchèque</v>
      </c>
      <c r="CU6" s="47"/>
      <c r="CV6" s="51">
        <f>$DK6+0.01*CN6+0.0001*(BQ6+BW7)+0.000001*BW7</f>
        <v>22.000301</v>
      </c>
      <c r="CW6" s="51">
        <f>$DK6+0.01*CO6+0.0001*(BR6+BW8)+0.000001*BW8</f>
        <v>22.060502999999997</v>
      </c>
      <c r="CX6" s="51">
        <f>$DK6+0.01*CP6+0.0001*(BS6+BW9)+0.000001*BW9</f>
        <v>22.000201999999998</v>
      </c>
      <c r="CY6" s="51">
        <f>$DK6+0.01*CQ6+0.0001*(BT6+BW10)+0.000001*BW10</f>
        <v>22.030301999999999</v>
      </c>
      <c r="CZ6" s="52">
        <f>$DK6+0.01*CR6+0.0001*(BU6+BW11)+0.000001*BW11</f>
        <v>22.060603999999998</v>
      </c>
      <c r="DB6" s="60" t="str">
        <f>CT6</f>
        <v>R. tchèque</v>
      </c>
      <c r="DC6" s="3" t="str">
        <f>IF(CZ6&gt;=CU11,CT6,CT11)</f>
        <v>R. tchèque</v>
      </c>
      <c r="DD6" s="3" t="str">
        <f>IF(CY6&gt;=CU10,CT6,CT10)</f>
        <v>R. tchèque</v>
      </c>
      <c r="DE6" s="3" t="str">
        <f>IF(CX6&gt;=CU9,CT6,CT9)</f>
        <v>R. tchèque</v>
      </c>
      <c r="DF6" s="3" t="str">
        <f>IF(CW6&gt;=CU8,CT6,CT8)</f>
        <v>R. tchèque</v>
      </c>
      <c r="DG6" s="3" t="str">
        <f>IF(CV6&gt;=CU7,CT6,CT7)</f>
        <v>R. tchèque</v>
      </c>
      <c r="DJ6" s="62" t="str">
        <f t="shared" ref="DJ6:DJ11" si="10">C6</f>
        <v>R. tchèque</v>
      </c>
      <c r="DK6" s="65">
        <f>AK8</f>
        <v>22</v>
      </c>
      <c r="DL6" s="72">
        <f>COUNTIF(DC6:DG10,C6)</f>
        <v>5</v>
      </c>
      <c r="DM6" s="25" t="str">
        <f t="shared" ref="DM6:DM11" si="11">C6</f>
        <v>R. tchèque</v>
      </c>
      <c r="DO6" s="25">
        <v>1</v>
      </c>
      <c r="DP6" s="68" t="str">
        <f>VLOOKUP(5,DL6:DM11,2,FALSE)</f>
        <v>R. tchèque</v>
      </c>
      <c r="DQ6" s="62">
        <v>1</v>
      </c>
      <c r="DR6" s="25">
        <f>VLOOKUP(DP6,U6:AB11,8,FALSE)</f>
        <v>1</v>
      </c>
      <c r="DT6" s="525" t="s">
        <v>97</v>
      </c>
      <c r="DU6" s="526"/>
      <c r="DV6" s="526"/>
      <c r="DW6" s="526"/>
      <c r="DX6" s="526"/>
      <c r="DY6" s="526"/>
      <c r="DZ6" s="526"/>
      <c r="EA6" s="527"/>
    </row>
    <row r="7" spans="2:131" ht="15.75" customHeight="1" thickBot="1" x14ac:dyDescent="0.3">
      <c r="B7" s="557"/>
      <c r="C7" s="290" t="s">
        <v>18</v>
      </c>
      <c r="D7" s="250" t="s">
        <v>23</v>
      </c>
      <c r="E7" s="165"/>
      <c r="F7" s="251" t="s">
        <v>9</v>
      </c>
      <c r="G7" s="251" t="s">
        <v>10</v>
      </c>
      <c r="H7" s="251" t="s">
        <v>26</v>
      </c>
      <c r="I7" s="252" t="s">
        <v>13</v>
      </c>
      <c r="K7" s="546"/>
      <c r="L7" s="268" t="s">
        <v>62</v>
      </c>
      <c r="M7" s="191" t="s">
        <v>9</v>
      </c>
      <c r="N7" s="165"/>
      <c r="O7" s="192" t="s">
        <v>24</v>
      </c>
      <c r="P7" s="192" t="s">
        <v>24</v>
      </c>
      <c r="Q7" s="192" t="s">
        <v>13</v>
      </c>
      <c r="R7" s="193" t="s">
        <v>40</v>
      </c>
      <c r="U7" s="11" t="str">
        <f t="shared" si="5"/>
        <v>Islande</v>
      </c>
      <c r="V7" s="12">
        <f>IF(OR(D7="-",D7=""),0,IF(MID(D7,1,1)&gt;MID(D7,3,1),3, IF(MID(D7,1,1)=MID(D7,3,1),1,IF(MID(D7,1,1)&lt;MID(D7,3,1),0))))</f>
        <v>3</v>
      </c>
      <c r="W7" s="27"/>
      <c r="X7" s="13">
        <f>IF(OR(F7="-",F7=""),0,IF(MID(F7,1,1)&gt;MID(F7,3,1),3,        IF(MID(F7,1,1)=MID(F7,3,1),1,         IF(MID(F7,1,1)&lt;MID(F7,3,1),0)        )))</f>
        <v>3</v>
      </c>
      <c r="Y7" s="13">
        <f>IF(OR(G7="-",G7=""),0,IF(MID(G7,1,1)&gt;MID(G7,3,1),3,        IF(MID(G7,1,1)=MID(G7,3,1),1,         IF(MID(G7,1,1)&lt;MID(G7,3,1),0)        )))</f>
        <v>3</v>
      </c>
      <c r="Z7" s="13">
        <f>IF(OR(H7="-",H7=""),0,IF(MID(H7,1,1)&gt;MID(H7,3,1),3,        IF(MID(H7,1,1)=MID(H7,3,1),1,         IF(MID(H7,1,1)&lt;MID(H7,3,1),0)        )))</f>
        <v>1</v>
      </c>
      <c r="AA7" s="14">
        <f>IF(OR(I7="-",I7=""),0,IF(MID(I7,1,1)&gt;MID(I7,3,1),3,        IF(MID(I7,1,1)=MID(I7,3,1),1,         IF(MID(I7,1,1)&lt;MID(I7,3,1),0)        )))</f>
        <v>1</v>
      </c>
      <c r="AB7" s="3">
        <v>2</v>
      </c>
      <c r="AC7" s="22">
        <f>IF(OR(D7="-",D7=""),0,IF(MID(D7,3,1)&gt;MID(D7,1,1),3,        IF(MID(D7,3,1)=MID(D7,1,1),1,         IF(MID(D7,3,1)&lt;MID(D7,1,1),0)        )))</f>
        <v>0</v>
      </c>
      <c r="AD7" s="27"/>
      <c r="AE7" s="13">
        <f>IF(OR(F7="-",F7=""),0,IF(MID(F7,3,1)&gt;MID(F7,1,1),3,        IF(MID(F7,3,1)=MID(F7,1,1),1,         IF(MID(F7,3,1)&lt;MID(F7,1,1),0)        )))</f>
        <v>0</v>
      </c>
      <c r="AF7" s="13">
        <f>IF(OR(G7="-",G7=""),0,IF(MID(G7,3,1)&gt;MID(G7,1,1),3,        IF(MID(G7,3,1)=MID(G7,1,1),1,         IF(MID(G7,3,1)&lt;MID(G7,1,1),0)        )))</f>
        <v>0</v>
      </c>
      <c r="AG7" s="13">
        <f>IF(OR(H7="-",H7=""),0,IF(MID(H7,3,1)&gt;MID(H7,1,1),3,        IF(MID(H7,3,1)=MID(H7,1,1),1,         IF(MID(H7,3,1)&lt;MID(H7,1,1),0)        )))</f>
        <v>1</v>
      </c>
      <c r="AH7" s="14">
        <f>IF(OR(I7="-",I7=""),0,IF(MID(I7,3,1)&gt;MID(I7,1,1),3,        IF(MID(I7,3,1)=MID(I7,1,1),1,         IF(MID(I7,3,1)&lt;MID(I7,1,1),0)        )))</f>
        <v>1</v>
      </c>
      <c r="AI7" s="36"/>
      <c r="AJ7" s="36"/>
      <c r="AK7" s="31" t="str">
        <f t="shared" ref="AK7:AP7" si="12">D5</f>
        <v>R. tchèque</v>
      </c>
      <c r="AL7" s="9" t="str">
        <f t="shared" si="12"/>
        <v>Islande</v>
      </c>
      <c r="AM7" s="9" t="str">
        <f t="shared" si="12"/>
        <v>Pays-Bas</v>
      </c>
      <c r="AN7" s="9" t="str">
        <f t="shared" si="12"/>
        <v>Turquie</v>
      </c>
      <c r="AO7" s="9" t="str">
        <f t="shared" si="12"/>
        <v>Lettonie</v>
      </c>
      <c r="AP7" s="10" t="str">
        <f t="shared" si="12"/>
        <v>Kazakhstan</v>
      </c>
      <c r="AQ7" s="18"/>
      <c r="AR7" s="11" t="str">
        <f t="shared" si="6"/>
        <v>Islande</v>
      </c>
      <c r="AS7" s="12">
        <f>BP7-BW7</f>
        <v>1</v>
      </c>
      <c r="AT7" s="80"/>
      <c r="AU7" s="12">
        <f>BR7-BY7</f>
        <v>2</v>
      </c>
      <c r="AV7" s="12">
        <f>BS7-BZ7</f>
        <v>3</v>
      </c>
      <c r="AW7" s="12">
        <f>BT7-CA7</f>
        <v>0</v>
      </c>
      <c r="AX7" s="69">
        <f>BU7-CB7</f>
        <v>0</v>
      </c>
      <c r="AY7" s="45"/>
      <c r="AZ7" s="22">
        <f>BW7-BP7</f>
        <v>-1</v>
      </c>
      <c r="BA7" s="27"/>
      <c r="BB7" s="13">
        <f>BY7-BR7</f>
        <v>-2</v>
      </c>
      <c r="BC7" s="13">
        <f>BZ7-BS7</f>
        <v>-3</v>
      </c>
      <c r="BD7" s="13">
        <f>CA7-BT7</f>
        <v>0</v>
      </c>
      <c r="BE7" s="14">
        <f>CB7-BU7</f>
        <v>0</v>
      </c>
      <c r="BF7" s="77"/>
      <c r="BG7" s="3"/>
      <c r="BH7" s="528" t="s">
        <v>104</v>
      </c>
      <c r="BI7" s="529"/>
      <c r="BJ7" s="529"/>
      <c r="BK7" s="529"/>
      <c r="BL7" s="529"/>
      <c r="BM7" s="530"/>
      <c r="BO7" s="11" t="str">
        <f t="shared" si="7"/>
        <v>Islande</v>
      </c>
      <c r="BP7" s="12">
        <f>IF(OR(D7="-",D7=""),0,_xlfn.NUMBERVALUE(MID(D7,1,1)))</f>
        <v>2</v>
      </c>
      <c r="BQ7" s="27"/>
      <c r="BR7" s="13">
        <f>IF(OR(F7="-",F7=""),0,_xlfn.NUMBERVALUE(MID(F7,1,1)))</f>
        <v>2</v>
      </c>
      <c r="BS7" s="13">
        <f>IF(OR(G7="-",G7=""),0,_xlfn.NUMBERVALUE(MID(G7,1,1)))</f>
        <v>3</v>
      </c>
      <c r="BT7" s="13">
        <f>IF(OR(H7="-",H7=""),0,_xlfn.NUMBERVALUE(MID(H7,1,1)))</f>
        <v>2</v>
      </c>
      <c r="BU7" s="14">
        <f>IF(OR(I7="-",I7=""),0,_xlfn.NUMBERVALUE(MID(I7,1,1)))</f>
        <v>0</v>
      </c>
      <c r="BV7" s="18"/>
      <c r="BW7" s="31">
        <f>IF(OR(D7="-",D7=""),0,_xlfn.NUMBERVALUE(MID(D7,3,1)))</f>
        <v>1</v>
      </c>
      <c r="BX7" s="27"/>
      <c r="BY7" s="9">
        <f>IF(OR(F7="-",F7=""),0,_xlfn.NUMBERVALUE(MID(F7,3,1)))</f>
        <v>0</v>
      </c>
      <c r="BZ7" s="9">
        <f>IF(OR(G7="-",G7=""),0,_xlfn.NUMBERVALUE(MID(G7,3,1)))</f>
        <v>0</v>
      </c>
      <c r="CA7" s="9">
        <f>IF(OR(H7="-",H7=""),0,_xlfn.NUMBERVALUE(MID(H7,3,1)))</f>
        <v>2</v>
      </c>
      <c r="CB7" s="10">
        <f>IF(OR(I7="-",I7=""),0,_xlfn.NUMBERVALUE(MID(I7,3,1)))</f>
        <v>0</v>
      </c>
      <c r="CD7" s="4" t="s">
        <v>86</v>
      </c>
      <c r="CE7" s="5" t="str">
        <f t="shared" ref="CE7:CJ7" si="13">D5</f>
        <v>R. tchèque</v>
      </c>
      <c r="CF7" s="6" t="str">
        <f t="shared" si="13"/>
        <v>Islande</v>
      </c>
      <c r="CG7" s="6" t="str">
        <f t="shared" si="13"/>
        <v>Pays-Bas</v>
      </c>
      <c r="CH7" s="6" t="str">
        <f t="shared" si="13"/>
        <v>Turquie</v>
      </c>
      <c r="CI7" s="6" t="str">
        <f t="shared" si="13"/>
        <v>Lettonie</v>
      </c>
      <c r="CJ7" s="7" t="str">
        <f t="shared" si="13"/>
        <v>Kazakhstan</v>
      </c>
      <c r="CL7" s="11" t="str">
        <f t="shared" si="8"/>
        <v>Islande</v>
      </c>
      <c r="CM7" s="9">
        <f>-CN6</f>
        <v>0</v>
      </c>
      <c r="CN7" s="27"/>
      <c r="CO7" s="37">
        <f>X7+AD8-(W8+AE7)</f>
        <v>6</v>
      </c>
      <c r="CP7" s="37">
        <f>Y7+AD9-(W9+AF7)</f>
        <v>0</v>
      </c>
      <c r="CQ7" s="37">
        <f>Z7+AD10-(W10+AG7)</f>
        <v>3</v>
      </c>
      <c r="CR7" s="41">
        <f>AA7+AD11-(W11+AH7)</f>
        <v>3</v>
      </c>
      <c r="CS7" s="40"/>
      <c r="CT7" s="8" t="str">
        <f t="shared" si="9"/>
        <v>Islande</v>
      </c>
      <c r="CU7" s="51">
        <f>$DK7+0.01*CM7+0.0001*(BP7+BX6)+0.000001*BX6</f>
        <v>20.000301</v>
      </c>
      <c r="CV7" s="47"/>
      <c r="CW7" s="51">
        <f>$DK7+0.01*CO7+0.0001*(BR7+BX8)+0.000001*BX8</f>
        <v>20.060300999999999</v>
      </c>
      <c r="CX7" s="51">
        <f>$DK7+0.01*CP7+0.0001*(BS7+BX9)+0.000001*BX9</f>
        <v>20.000299999999999</v>
      </c>
      <c r="CY7" s="51">
        <f>$DK7+0.01*CQ7+0.0001*(BT7+BX10)+0.000001*BX10</f>
        <v>20.030503</v>
      </c>
      <c r="CZ7" s="52">
        <f>$DK7+0.01*CR7+0.0001*(BU7+BX11)+0.000001*BX11</f>
        <v>20.030303</v>
      </c>
      <c r="DB7" s="61" t="str">
        <f t="shared" ref="DB7:DB10" si="14">CT7</f>
        <v>Islande</v>
      </c>
      <c r="DC7" s="3" t="str">
        <f>IF(CZ7&gt;=CV11,CT7,CT11)</f>
        <v>Islande</v>
      </c>
      <c r="DD7" s="3" t="str">
        <f>IF(CY7&gt;=CV10,CT7,CT10)</f>
        <v>Islande</v>
      </c>
      <c r="DE7" s="3" t="str">
        <f>IF(CX7&gt;=CV9,CT7,CT9)</f>
        <v>Islande</v>
      </c>
      <c r="DF7" s="3" t="str">
        <f>IF(CW7&gt;=CV8,CT7,CT8)</f>
        <v>Islande</v>
      </c>
      <c r="DJ7" s="63" t="str">
        <f t="shared" si="10"/>
        <v>Islande</v>
      </c>
      <c r="DK7" s="66">
        <f>AL8</f>
        <v>20</v>
      </c>
      <c r="DL7" s="73">
        <f>COUNTIF(DC6:DG10,C7)</f>
        <v>4</v>
      </c>
      <c r="DM7" s="11" t="str">
        <f t="shared" si="11"/>
        <v>Islande</v>
      </c>
      <c r="DO7" s="11">
        <v>2</v>
      </c>
      <c r="DP7" s="69" t="str">
        <f>VLOOKUP(4,DL6:DM11,2,FALSE)</f>
        <v>Islande</v>
      </c>
      <c r="DQ7" s="63">
        <v>2</v>
      </c>
      <c r="DR7" s="11">
        <f>VLOOKUP(DP7,U6:AB11,8,FALSE)</f>
        <v>2</v>
      </c>
      <c r="DT7" s="38" t="s">
        <v>98</v>
      </c>
      <c r="DU7" s="88" t="s">
        <v>94</v>
      </c>
      <c r="DV7" s="6" t="str">
        <f>"+/-"</f>
        <v>+/-</v>
      </c>
      <c r="DW7" s="6" t="s">
        <v>101</v>
      </c>
      <c r="DX7" s="6" t="s">
        <v>105</v>
      </c>
      <c r="DY7" s="89" t="s">
        <v>102</v>
      </c>
      <c r="DZ7" s="4" t="s">
        <v>103</v>
      </c>
      <c r="EA7" s="38" t="s">
        <v>98</v>
      </c>
    </row>
    <row r="8" spans="2:131" ht="15.75" customHeight="1" thickBot="1" x14ac:dyDescent="0.3">
      <c r="B8" s="557"/>
      <c r="C8" s="290" t="s">
        <v>17</v>
      </c>
      <c r="D8" s="250" t="s">
        <v>158</v>
      </c>
      <c r="E8" s="251" t="s">
        <v>29</v>
      </c>
      <c r="F8" s="165"/>
      <c r="G8" s="251" t="s">
        <v>24</v>
      </c>
      <c r="H8" s="251" t="s">
        <v>11</v>
      </c>
      <c r="I8" s="252" t="s">
        <v>25</v>
      </c>
      <c r="K8" s="546"/>
      <c r="L8" s="268" t="s">
        <v>63</v>
      </c>
      <c r="M8" s="191" t="s">
        <v>24</v>
      </c>
      <c r="N8" s="192" t="s">
        <v>32</v>
      </c>
      <c r="O8" s="165"/>
      <c r="P8" s="192" t="s">
        <v>29</v>
      </c>
      <c r="Q8" s="192" t="s">
        <v>24</v>
      </c>
      <c r="R8" s="193" t="s">
        <v>40</v>
      </c>
      <c r="U8" s="11" t="str">
        <f t="shared" si="5"/>
        <v>Pays-Bas</v>
      </c>
      <c r="V8" s="12">
        <f t="shared" ref="V8:W11" si="15">IF(OR(D8="-",D8=""),0,IF(MID(D8,1,1)&gt;MID(D8,3,1),3,        IF(MID(D8,1,1)=MID(D8,3,1),1,         IF(MID(D8,1,1)&lt;MID(D8,3,1),0)        )))</f>
        <v>0</v>
      </c>
      <c r="W8" s="13">
        <f>IF(OR(E8="-",E8=""),0,IF(MID(E8,1,1)&gt;MID(E8,3,1),3,        IF(MID(E8,1,1)=MID(E8,3,1),1,         IF(MID(E8,1,1)&lt;MID(E8,3,1),0)        )))</f>
        <v>0</v>
      </c>
      <c r="X8" s="27"/>
      <c r="Y8" s="13">
        <f>IF(OR(G8="-",G8=""),0,IF(MID(G8,1,1)&gt;MID(G8,3,1),3,        IF(MID(G8,1,1)=MID(G8,3,1),1,         IF(MID(G8,1,1)&lt;MID(G8,3,1),0)        )))</f>
        <v>1</v>
      </c>
      <c r="Z8" s="13">
        <f>IF(OR(H8="-",H8=""),0,IF(MID(H8,1,1)&gt;MID(H8,3,1),3,        IF(MID(H8,1,1)=MID(H8,3,1),1,         IF(MID(H8,1,1)&lt;MID(H8,3,1),0)        )))</f>
        <v>3</v>
      </c>
      <c r="AA8" s="14">
        <f>IF(OR(I8="-",I8=""),0,IF(MID(I8,1,1)&gt;MID(I8,3,1),3,        IF(MID(I8,1,1)=MID(I8,3,1),1,         IF(MID(I8,1,1)&lt;MID(I8,3,1),0)        )))</f>
        <v>3</v>
      </c>
      <c r="AB8" s="3">
        <v>3</v>
      </c>
      <c r="AC8" s="22">
        <f>IF(OR(D8="-",D8=""),0,IF(MID(D8,3,1)&gt;MID(D8,1,1),3,        IF(MID(D8,3,1)=MID(D8,1,1),1,         IF(MID(D8,3,1)&lt;MID(D8,1,1),0)        )))</f>
        <v>3</v>
      </c>
      <c r="AD8" s="13">
        <f>IF(OR(E8="-",E8=""),0,IF(MID(E8,3,1)&gt;MID(E8,1,1),3,        IF(MID(E8,3,1)=MID(E8,1,1),1,         IF(MID(E8,3,1)&lt;MID(E8,1,1),0)        )))</f>
        <v>3</v>
      </c>
      <c r="AE8" s="27"/>
      <c r="AF8" s="13">
        <f>IF(OR(G8="-",G8=""),0,IF(MID(G8,3,1)&gt;MID(G8,1,1),3,        IF(MID(G8,3,1)=MID(G8,1,1),1,         IF(MID(G8,3,1)&lt;MID(G8,1,1),0)        )))</f>
        <v>1</v>
      </c>
      <c r="AG8" s="13">
        <f>IF(OR(H8="-",H8=""),0,IF(MID(H8,3,1)&gt;MID(H8,1,1),3,        IF(MID(H8,3,1)=MID(H8,1,1),1,         IF(MID(H8,3,1)&lt;MID(H8,1,1),0)        )))</f>
        <v>0</v>
      </c>
      <c r="AH8" s="14">
        <f>IF(OR(I8="-",I8=""),0,IF(MID(I8,3,1)&gt;MID(I8,1,1),3,        IF(MID(I8,3,1)=MID(I8,1,1),1,         IF(MID(I8,3,1)&lt;MID(I8,1,1),0)        )))</f>
        <v>0</v>
      </c>
      <c r="AI8" s="36"/>
      <c r="AJ8" s="36"/>
      <c r="AK8" s="23">
        <f>SUM(W6:AA6,AC7:AC11)</f>
        <v>22</v>
      </c>
      <c r="AL8" s="17">
        <f>SUM(V7,X7:AA7,AD6,AD8:AD11)</f>
        <v>20</v>
      </c>
      <c r="AM8" s="17">
        <f>SUM(V8:W8,Y8:AA8,AE6:AE7,AE9:AE11)</f>
        <v>13</v>
      </c>
      <c r="AN8" s="17">
        <f>SUM(V9:X9,Z9:AA9,AF6:AF8,AF10:AF11)</f>
        <v>18</v>
      </c>
      <c r="AO8" s="17">
        <f>SUM(V10:Y10,AA10,AG6:AG9,AG11)</f>
        <v>5</v>
      </c>
      <c r="AP8" s="24">
        <f>SUM(V11:Z11,AH6:AH10)</f>
        <v>5</v>
      </c>
      <c r="AQ8" s="18"/>
      <c r="AR8" s="11" t="str">
        <f t="shared" si="6"/>
        <v>Pays-Bas</v>
      </c>
      <c r="AS8" s="12">
        <f>BP8-BW8</f>
        <v>-1</v>
      </c>
      <c r="AT8" s="12">
        <f>BQ8-BX8</f>
        <v>-1</v>
      </c>
      <c r="AU8" s="80"/>
      <c r="AV8" s="12">
        <f>BS8-BZ8</f>
        <v>0</v>
      </c>
      <c r="AW8" s="12">
        <f>BT8-CA8</f>
        <v>6</v>
      </c>
      <c r="AX8" s="69">
        <f>BU8-CB8</f>
        <v>2</v>
      </c>
      <c r="AY8" s="45"/>
      <c r="AZ8" s="22">
        <f t="shared" ref="AZ8:AZ11" si="16">BW8-BP8</f>
        <v>1</v>
      </c>
      <c r="BA8" s="13">
        <f>BX8-BQ8</f>
        <v>1</v>
      </c>
      <c r="BB8" s="27"/>
      <c r="BC8" s="13">
        <f>BZ8-BS8</f>
        <v>0</v>
      </c>
      <c r="BD8" s="13">
        <f>CA8-BT8</f>
        <v>-6</v>
      </c>
      <c r="BE8" s="14">
        <f>CB8-BU8</f>
        <v>-2</v>
      </c>
      <c r="BF8" s="77"/>
      <c r="BG8" s="4" t="s">
        <v>86</v>
      </c>
      <c r="BH8" s="5" t="str">
        <f t="shared" ref="BH8:BM8" si="17">D5</f>
        <v>R. tchèque</v>
      </c>
      <c r="BI8" s="5" t="str">
        <f t="shared" si="17"/>
        <v>Islande</v>
      </c>
      <c r="BJ8" s="5" t="str">
        <f t="shared" si="17"/>
        <v>Pays-Bas</v>
      </c>
      <c r="BK8" s="5" t="str">
        <f t="shared" si="17"/>
        <v>Turquie</v>
      </c>
      <c r="BL8" s="5" t="str">
        <f t="shared" si="17"/>
        <v>Lettonie</v>
      </c>
      <c r="BM8" s="76" t="str">
        <f t="shared" si="17"/>
        <v>Kazakhstan</v>
      </c>
      <c r="BO8" s="11" t="str">
        <f t="shared" si="7"/>
        <v>Pays-Bas</v>
      </c>
      <c r="BP8" s="12">
        <f>IF(OR(D8="-",D8=""),0,_xlfn.NUMBERVALUE(MID(D8,1,1)))</f>
        <v>2</v>
      </c>
      <c r="BQ8" s="13">
        <f>IF(OR(E8="-",E8=""),0,_xlfn.NUMBERVALUE(MID(E8,1,1)))</f>
        <v>0</v>
      </c>
      <c r="BR8" s="27"/>
      <c r="BS8" s="13">
        <f>IF(OR(G8="-",G8=""),0,_xlfn.NUMBERVALUE(MID(G8,1,1)))</f>
        <v>1</v>
      </c>
      <c r="BT8" s="13">
        <f>IF(OR(H8="-",H8=""),0,_xlfn.NUMBERVALUE(MID(H8,1,1)))</f>
        <v>6</v>
      </c>
      <c r="BU8" s="14">
        <f>IF(OR(I8="-",I8=""),0,_xlfn.NUMBERVALUE(MID(I8,1,1)))</f>
        <v>3</v>
      </c>
      <c r="BV8" s="18"/>
      <c r="BW8" s="31">
        <f>IF(OR(D8="-",D8=""),0,_xlfn.NUMBERVALUE(MID(D8,3,1)))</f>
        <v>3</v>
      </c>
      <c r="BX8" s="9">
        <f>IF(OR(E8="-",E8=""),0,_xlfn.NUMBERVALUE(MID(E8,3,1)))</f>
        <v>1</v>
      </c>
      <c r="BY8" s="27"/>
      <c r="BZ8" s="9">
        <f>IF(OR(G8="-",G8=""),0,_xlfn.NUMBERVALUE(MID(G8,3,1)))</f>
        <v>1</v>
      </c>
      <c r="CA8" s="9">
        <f>IF(OR(H8="-",H8=""),0,_xlfn.NUMBERVALUE(MID(H8,3,1)))</f>
        <v>0</v>
      </c>
      <c r="CB8" s="10">
        <f>IF(OR(I8="-",I8=""),0,_xlfn.NUMBERVALUE(MID(I8,3,1)))</f>
        <v>1</v>
      </c>
      <c r="CD8" s="8" t="s">
        <v>91</v>
      </c>
      <c r="CE8" s="39">
        <f>SUM(BQ6:BU6)</f>
        <v>7</v>
      </c>
      <c r="CF8" s="9">
        <f>SUM(BP7,BR7:BU7)</f>
        <v>9</v>
      </c>
      <c r="CG8" s="9">
        <f>SUM(BP8:BQ8,BS8:BU8)</f>
        <v>12</v>
      </c>
      <c r="CH8" s="9">
        <f>SUM(BP9:BR9,BT9:BU9)</f>
        <v>9</v>
      </c>
      <c r="CI8" s="9">
        <f>SUM(BP10:BS10,BU10)</f>
        <v>2</v>
      </c>
      <c r="CJ8" s="10">
        <f>SUM(BP11:BT11)</f>
        <v>3</v>
      </c>
      <c r="CL8" s="11" t="str">
        <f t="shared" si="8"/>
        <v>Pays-Bas</v>
      </c>
      <c r="CM8" s="12">
        <f>-CO6</f>
        <v>-6</v>
      </c>
      <c r="CN8" s="13">
        <f>-CO7</f>
        <v>-6</v>
      </c>
      <c r="CO8" s="27"/>
      <c r="CP8" s="37">
        <f>Y8+AE9-(X9+AF8)</f>
        <v>-3</v>
      </c>
      <c r="CQ8" s="37">
        <f>Z8+AE10-(X10+AG8)</f>
        <v>6</v>
      </c>
      <c r="CR8" s="41">
        <f>AA8+AE11-(X11+AH8)</f>
        <v>6</v>
      </c>
      <c r="CS8" s="40"/>
      <c r="CT8" s="8" t="str">
        <f t="shared" si="9"/>
        <v>Pays-Bas</v>
      </c>
      <c r="CU8" s="51">
        <f>$DK8+0.01*CM8+0.0001*(BP8+BY6)+0.000001*BY6</f>
        <v>12.940300999999998</v>
      </c>
      <c r="CV8" s="51">
        <f>$DK8+0.01*CN8+0.0001*(BQ8+BY7)+0.000001*BY7</f>
        <v>12.94</v>
      </c>
      <c r="CW8" s="47"/>
      <c r="CX8" s="51">
        <f>$DK8+0.01*CP8+0.0001*(BS8+BY9)+0.000001*BY9</f>
        <v>12.9701</v>
      </c>
      <c r="CY8" s="51">
        <f>$DK8+0.01*CQ8+0.0001*(BT8+BY10)+0.000001*BY10</f>
        <v>13.060802000000001</v>
      </c>
      <c r="CZ8" s="52">
        <f>$DK8+0.01*CR8+0.0001*(BU8+BY11)+0.000001*BY11</f>
        <v>13.060502000000001</v>
      </c>
      <c r="DB8" s="61" t="str">
        <f t="shared" si="14"/>
        <v>Pays-Bas</v>
      </c>
      <c r="DC8" s="3" t="str">
        <f>IF(CZ8&gt;=CW11,CT8,CT11)</f>
        <v>Pays-Bas</v>
      </c>
      <c r="DD8" s="3" t="str">
        <f>IF(CY8&gt;=CW10,CT8,CT10)</f>
        <v>Pays-Bas</v>
      </c>
      <c r="DE8" s="3" t="str">
        <f>IF(CX8&gt;=CW9,CT8,CT9)</f>
        <v>Turquie</v>
      </c>
      <c r="DJ8" s="63" t="str">
        <f t="shared" si="10"/>
        <v>Pays-Bas</v>
      </c>
      <c r="DK8" s="66">
        <f>AM8</f>
        <v>13</v>
      </c>
      <c r="DL8" s="73">
        <f>COUNTIF(DC6:DG10,C8)</f>
        <v>2</v>
      </c>
      <c r="DM8" s="11" t="str">
        <f t="shared" si="11"/>
        <v>Pays-Bas</v>
      </c>
      <c r="DO8" s="11">
        <v>3</v>
      </c>
      <c r="DP8" s="69" t="str">
        <f>VLOOKUP(3,DL6:DM11,2,FALSE)</f>
        <v>Turquie</v>
      </c>
      <c r="DQ8" s="63">
        <v>3</v>
      </c>
      <c r="DR8" s="11">
        <f>VLOOKUP(DP8,U6:AB11,8,FALSE)</f>
        <v>4</v>
      </c>
      <c r="DT8" s="8" t="str">
        <f>DP8</f>
        <v>Turquie</v>
      </c>
      <c r="DU8" s="39">
        <f>HLOOKUP(DP8,AK7:AP8,2,FALSE)-VLOOKUP(DT8,U6:AA11,VLOOKUP(DP11,DP6:DR11,3,FALSE)+1,FALSE)-HLOOKUP(DT8,AC5:AH11,VLOOKUP(DP11,DP6:DR11,3,FALSE)+1,FALSE)</f>
        <v>16</v>
      </c>
      <c r="DV8" s="9">
        <f>HLOOKUP(DP8,BH8:BM9,2,FALSE)-VLOOKUP(DT8,AR6:AX11,VLOOKUP(DP11,DP6:DR11,3,FALSE)+1,FALSE)-HLOOKUP(DT8,AZ5:BE11,VLOOKUP(DP11,DP6:DR11,3,FALSE)+1,FALSE)</f>
        <v>5</v>
      </c>
      <c r="DW8" s="9">
        <f>HLOOKUP(DP8,CE7:CJ10,4,FALSE)-VLOOKUP(DT8,BO6:BU11,VLOOKUP(DP11,DP6:DR11,3,FALSE)+1,FALSE)-HLOOKUP(DT8,BW5:CB11,VLOOKUP(DP11,DP6:DR11,3,FALSE)+1,FALSE)</f>
        <v>12</v>
      </c>
      <c r="DX8" s="9">
        <f>HLOOKUP(DP8,CE7:CJ9,3,FALSE)-HLOOKUP(DT8,BW5:CB11,VLOOKUP(DP11,DP6:DR11,3,FALSE)+1,FALSE)</f>
        <v>4</v>
      </c>
      <c r="DY8" s="90">
        <f t="shared" ref="DY8:DY16" si="18">DW8-DV8</f>
        <v>7</v>
      </c>
      <c r="DZ8" s="8">
        <f t="shared" ref="DZ8:DZ16" si="19">DU8+0.01*DV8+0.0001*DW8+0.000001*DX8</f>
        <v>16.051204000000002</v>
      </c>
      <c r="EA8" s="25" t="str">
        <f>DT8</f>
        <v>Turquie</v>
      </c>
    </row>
    <row r="9" spans="2:131" ht="15.75" customHeight="1" thickBot="1" x14ac:dyDescent="0.3">
      <c r="B9" s="557"/>
      <c r="C9" s="290" t="s">
        <v>16</v>
      </c>
      <c r="D9" s="250" t="s">
        <v>22</v>
      </c>
      <c r="E9" s="251" t="s">
        <v>40</v>
      </c>
      <c r="F9" s="251" t="s">
        <v>10</v>
      </c>
      <c r="G9" s="165"/>
      <c r="H9" s="251" t="s">
        <v>24</v>
      </c>
      <c r="I9" s="252" t="s">
        <v>25</v>
      </c>
      <c r="K9" s="546"/>
      <c r="L9" s="268" t="s">
        <v>64</v>
      </c>
      <c r="M9" s="191" t="s">
        <v>22</v>
      </c>
      <c r="N9" s="192" t="s">
        <v>13</v>
      </c>
      <c r="O9" s="192" t="s">
        <v>40</v>
      </c>
      <c r="P9" s="165"/>
      <c r="Q9" s="192" t="s">
        <v>13</v>
      </c>
      <c r="R9" s="193" t="s">
        <v>23</v>
      </c>
      <c r="U9" s="11" t="str">
        <f t="shared" si="5"/>
        <v>Turquie</v>
      </c>
      <c r="V9" s="12">
        <f t="shared" si="15"/>
        <v>0</v>
      </c>
      <c r="W9" s="13">
        <f t="shared" si="15"/>
        <v>3</v>
      </c>
      <c r="X9" s="13">
        <f>IF(OR(F9="-",F9=""),0,IF(MID(F9,1,1)&gt;MID(F9,3,1),3,        IF(MID(F9,1,1)=MID(F9,3,1),1,         IF(MID(F9,1,1)&lt;MID(F9,3,1),0)        )))</f>
        <v>3</v>
      </c>
      <c r="Y9" s="27"/>
      <c r="Z9" s="13">
        <f>IF(OR(H9="-",H9=""),0,IF(MID(H9,1,1)&gt;MID(H9,3,1),3,        IF(MID(H9,1,1)=MID(H9,3,1),1,         IF(MID(H9,1,1)&lt;MID(H9,3,1),0)        )))</f>
        <v>1</v>
      </c>
      <c r="AA9" s="14">
        <f>IF(OR(I9="-",I9=""),0,IF(MID(I9,1,1)&gt;MID(I9,3,1),3,        IF(MID(I9,1,1)=MID(I9,3,1),1,         IF(MID(I9,1,1)&lt;MID(I9,3,1),0)        )))</f>
        <v>3</v>
      </c>
      <c r="AB9" s="3">
        <v>4</v>
      </c>
      <c r="AC9" s="22">
        <f>IF(OR(D9="-",D9=""),0,IF(MID(D9,3,1)&gt;MID(D9,1,1),3,        IF(MID(D9,3,1)=MID(D9,1,1),1,         IF(MID(D9,3,1)&lt;MID(D9,1,1),0)        )))</f>
        <v>3</v>
      </c>
      <c r="AD9" s="13">
        <f>IF(OR(E9="-",E9=""),0,IF(MID(E9,3,1)&gt;MID(E9,1,1),3,        IF(MID(E9,3,1)=MID(E9,1,1),1,         IF(MID(E9,3,1)&lt;MID(E9,1,1),0)        )))</f>
        <v>0</v>
      </c>
      <c r="AE9" s="13">
        <f>IF(OR(F9="-",F9=""),0,IF(MID(F9,3,1)&gt;MID(F9,1,1),3,        IF(MID(F9,3,1)=MID(F9,1,1),1,         IF(MID(F9,3,1)&lt;MID(F9,1,1),0)        )))</f>
        <v>0</v>
      </c>
      <c r="AF9" s="27"/>
      <c r="AG9" s="13">
        <f>IF(OR(H9="-",H9=""),0,IF(MID(H9,3,1)&gt;MID(H9,1,1),3,        IF(MID(H9,3,1)=MID(H9,1,1),1,         IF(MID(H9,3,1)&lt;MID(H9,1,1),0)        )))</f>
        <v>1</v>
      </c>
      <c r="AH9" s="14">
        <f>IF(OR(I9="-",I9=""),0,IF(MID(I9,3,1)&gt;MID(I9,1,1),3,        IF(MID(I9,3,1)=MID(I9,1,1),1,         IF(MID(I9,3,1)&lt;MID(I9,1,1),0)        )))</f>
        <v>0</v>
      </c>
      <c r="AI9" s="77"/>
      <c r="AJ9" s="77"/>
      <c r="AK9" s="45"/>
      <c r="AL9" s="45"/>
      <c r="AM9" s="45"/>
      <c r="AN9" s="45"/>
      <c r="AO9" s="45"/>
      <c r="AP9" s="45"/>
      <c r="AQ9" s="18"/>
      <c r="AR9" s="11" t="str">
        <f t="shared" si="6"/>
        <v>Turquie</v>
      </c>
      <c r="AS9" s="12">
        <f>BP9-BW9</f>
        <v>-1</v>
      </c>
      <c r="AT9" s="12">
        <f>BQ9-BX9</f>
        <v>1</v>
      </c>
      <c r="AU9" s="12">
        <f>BR9-BY9</f>
        <v>3</v>
      </c>
      <c r="AV9" s="80"/>
      <c r="AW9" s="12">
        <f>BT9-CA9</f>
        <v>0</v>
      </c>
      <c r="AX9" s="69">
        <f>BU9-CB9</f>
        <v>2</v>
      </c>
      <c r="AY9" s="45"/>
      <c r="AZ9" s="22">
        <f t="shared" si="16"/>
        <v>1</v>
      </c>
      <c r="BA9" s="13">
        <f>BX9-BQ9</f>
        <v>-1</v>
      </c>
      <c r="BB9" s="13">
        <f>BY9-BR9</f>
        <v>-3</v>
      </c>
      <c r="BC9" s="27"/>
      <c r="BD9" s="13">
        <f>CA9-BT9</f>
        <v>0</v>
      </c>
      <c r="BE9" s="14">
        <f>CB9-BU9</f>
        <v>-2</v>
      </c>
      <c r="BF9" s="77"/>
      <c r="BG9" s="19" t="s">
        <v>91</v>
      </c>
      <c r="BH9" s="87">
        <f>SUM(AT6:AX6,AZ7:AZ11)</f>
        <v>5</v>
      </c>
      <c r="BI9" s="32">
        <f>SUM(AS7,AU7:AX7,BA6,BA8:BA11)</f>
        <v>11</v>
      </c>
      <c r="BJ9" s="32">
        <f>SUM(AS8:AT8,AV8:AX8,BB6:BB7,BB9:BB11)</f>
        <v>3</v>
      </c>
      <c r="BK9" s="32">
        <f>SUM(AS9:AU9,AW9:AX9,BC6:BC8,BC10:BC11)</f>
        <v>5</v>
      </c>
      <c r="BL9" s="32">
        <f>SUM(AS10:AV10,AX10,BD6:BD9,BD11)</f>
        <v>-13</v>
      </c>
      <c r="BM9" s="33">
        <f>SUM(AS11:AW11,BE6:BE10)</f>
        <v>-11</v>
      </c>
      <c r="BO9" s="11" t="str">
        <f t="shared" si="7"/>
        <v>Turquie</v>
      </c>
      <c r="BP9" s="12">
        <f>IF(OR(D9="-",D9=""),0,_xlfn.NUMBERVALUE(MID(D9,1,1)))</f>
        <v>1</v>
      </c>
      <c r="BQ9" s="13">
        <f>IF(OR(E9="-",E9=""),0,_xlfn.NUMBERVALUE(MID(E9,1,1)))</f>
        <v>1</v>
      </c>
      <c r="BR9" s="13">
        <f>IF(OR(F9="-",F9=""),0,_xlfn.NUMBERVALUE(MID(F9,1,1)))</f>
        <v>3</v>
      </c>
      <c r="BS9" s="27"/>
      <c r="BT9" s="13">
        <f>IF(OR(H9="-",H9=""),0,_xlfn.NUMBERVALUE(MID(H9,1,1)))</f>
        <v>1</v>
      </c>
      <c r="BU9" s="14">
        <f>IF(OR(I9="-",I9=""),0,_xlfn.NUMBERVALUE(MID(I9,1,1)))</f>
        <v>3</v>
      </c>
      <c r="BV9" s="18"/>
      <c r="BW9" s="31">
        <f>IF(OR(D9="-",D9=""),0,_xlfn.NUMBERVALUE(MID(D9,3,1)))</f>
        <v>2</v>
      </c>
      <c r="BX9" s="9">
        <f>IF(OR(E9="-",E9=""),0,_xlfn.NUMBERVALUE(MID(E9,3,1)))</f>
        <v>0</v>
      </c>
      <c r="BY9" s="9">
        <f>IF(OR(F9="-",F9=""),0,_xlfn.NUMBERVALUE(MID(F9,3,1)))</f>
        <v>0</v>
      </c>
      <c r="BZ9" s="27"/>
      <c r="CA9" s="9">
        <f>IF(OR(H9="-",H9=""),0,_xlfn.NUMBERVALUE(MID(H9,3,1)))</f>
        <v>1</v>
      </c>
      <c r="CB9" s="10">
        <f>IF(OR(I9="-",I9=""),0,_xlfn.NUMBERVALUE(MID(I9,3,1)))</f>
        <v>1</v>
      </c>
      <c r="CD9" s="11" t="s">
        <v>92</v>
      </c>
      <c r="CE9" s="12">
        <f>SUM(BW7:BW11)</f>
        <v>12</v>
      </c>
      <c r="CF9" s="13">
        <f>SUM(BX6,BX8:BX11)</f>
        <v>8</v>
      </c>
      <c r="CG9" s="13">
        <f>SUM(BY6:BY7,BY9:BY11)</f>
        <v>5</v>
      </c>
      <c r="CH9" s="13">
        <f>SUM(BZ6:BZ8,BZ10:BZ11)</f>
        <v>5</v>
      </c>
      <c r="CI9" s="13">
        <f>SUM(CA6:CA9,CA11)</f>
        <v>4</v>
      </c>
      <c r="CJ9" s="14">
        <f>SUM(CB6:CB10)</f>
        <v>4</v>
      </c>
      <c r="CL9" s="11" t="str">
        <f t="shared" si="8"/>
        <v>Turquie</v>
      </c>
      <c r="CM9" s="12">
        <f>-CP6</f>
        <v>0</v>
      </c>
      <c r="CN9" s="13">
        <f>-CP7</f>
        <v>0</v>
      </c>
      <c r="CO9" s="37">
        <f>-CP8</f>
        <v>3</v>
      </c>
      <c r="CP9" s="27"/>
      <c r="CQ9" s="37">
        <f>Z9+AF10-(Y10+AG9)</f>
        <v>0</v>
      </c>
      <c r="CR9" s="41">
        <f>AA9+AF11-(Y11+AH9)</f>
        <v>6</v>
      </c>
      <c r="CS9" s="40"/>
      <c r="CT9" s="8" t="str">
        <f t="shared" si="9"/>
        <v>Turquie</v>
      </c>
      <c r="CU9" s="51">
        <f>$DK9+0.01*CM9+0.0001*(BP9+BZ6)+0.000001*BZ6</f>
        <v>18.000301999999998</v>
      </c>
      <c r="CV9" s="51">
        <f>$DK9+0.01*CN9+0.0001*(BQ9+BZ7)+0.000001*BZ7</f>
        <v>18.0001</v>
      </c>
      <c r="CW9" s="51">
        <f>$DK9+0.01*CO9+0.0001*(BR9+BZ8)+0.000001*BZ8</f>
        <v>18.030401000000001</v>
      </c>
      <c r="CX9" s="47"/>
      <c r="CY9" s="51">
        <f>$DK9+0.01*CQ9+0.0001*(BT9+BZ10)+0.000001*BZ10</f>
        <v>18.000201000000001</v>
      </c>
      <c r="CZ9" s="52">
        <f>$DK9+0.01*CR9+0.0001*(BU9+BZ11)+0.000001*BZ11</f>
        <v>18.060400999999999</v>
      </c>
      <c r="DB9" s="61" t="str">
        <f t="shared" si="14"/>
        <v>Turquie</v>
      </c>
      <c r="DC9" s="3" t="str">
        <f>IF(CZ9&gt;=CX11,CT9,CT11)</f>
        <v>Turquie</v>
      </c>
      <c r="DD9" s="3" t="str">
        <f>IF(CY9&gt;=CX10,CT9,CT10)</f>
        <v>Turquie</v>
      </c>
      <c r="DJ9" s="63" t="str">
        <f t="shared" si="10"/>
        <v>Turquie</v>
      </c>
      <c r="DK9" s="66">
        <f>AN8</f>
        <v>18</v>
      </c>
      <c r="DL9" s="73">
        <f>COUNTIF(DC6:DG10,C9)</f>
        <v>3</v>
      </c>
      <c r="DM9" s="11" t="str">
        <f t="shared" si="11"/>
        <v>Turquie</v>
      </c>
      <c r="DO9" s="11">
        <v>4</v>
      </c>
      <c r="DP9" s="69" t="str">
        <f>VLOOKUP(2,DL6:DM11,2,FALSE)</f>
        <v>Pays-Bas</v>
      </c>
      <c r="DQ9" s="63">
        <v>4</v>
      </c>
      <c r="DR9" s="11">
        <f>VLOOKUP(DP9,U6:AB11,8,FALSE)</f>
        <v>3</v>
      </c>
      <c r="DT9" s="8" t="str">
        <f>DP15</f>
        <v>Bosnie</v>
      </c>
      <c r="DU9" s="39">
        <f>HLOOKUP(DP15,AK14:AP15,2,FALSE)-VLOOKUP(DT9,U13:AA18,VLOOKUP(DP18,DP13:DR18,3,FALSE)+1,FALSE)-HLOOKUP(DT9,AC12:AH18,VLOOKUP(DP18,DP13:DR18,3,FALSE)+1,FALSE)</f>
        <v>11</v>
      </c>
      <c r="DV9" s="9">
        <f>HLOOKUP(DP15,BH15:BM16,2,FALSE)-VLOOKUP(DT9,AR13:AX18,VLOOKUP(DP18,DP13:DR18,3,FALSE)+1,FALSE)-HLOOKUP(DT9,AZ12:BE18,VLOOKUP(DP18,DP13:DR18,3,FALSE)+1,FALSE)</f>
        <v>-1</v>
      </c>
      <c r="DW9" s="9">
        <f>HLOOKUP(DP15,CE14:CJ17,4,FALSE)-VLOOKUP(DT9,BO13:BU18,VLOOKUP(DP18,DP13:DR18,3,FALSE)+1,FALSE)-HLOOKUP(DT9,BW12:CB18,VLOOKUP(DP18,DP13:DR18,3,FALSE)+1,FALSE)</f>
        <v>11</v>
      </c>
      <c r="DX9" s="9">
        <f>HLOOKUP(DP15,CE14:CJ16,3,FALSE)-HLOOKUP(DT9,BW12:CB18,VLOOKUP(DP18,DP13:DR18,3,FALSE)+1,FALSE)</f>
        <v>4</v>
      </c>
      <c r="DY9" s="90">
        <f t="shared" si="18"/>
        <v>12</v>
      </c>
      <c r="DZ9" s="8">
        <f t="shared" si="19"/>
        <v>10.991104</v>
      </c>
      <c r="EA9" s="8" t="str">
        <f t="shared" ref="EA9:EA16" si="20">DT9</f>
        <v>Bosnie</v>
      </c>
    </row>
    <row r="10" spans="2:131" ht="15.75" customHeight="1" thickBot="1" x14ac:dyDescent="0.3">
      <c r="B10" s="557"/>
      <c r="C10" s="290" t="s">
        <v>15</v>
      </c>
      <c r="D10" s="250" t="s">
        <v>22</v>
      </c>
      <c r="E10" s="251" t="s">
        <v>12</v>
      </c>
      <c r="F10" s="251" t="s">
        <v>32</v>
      </c>
      <c r="G10" s="251" t="s">
        <v>24</v>
      </c>
      <c r="H10" s="165"/>
      <c r="I10" s="252" t="s">
        <v>29</v>
      </c>
      <c r="K10" s="546"/>
      <c r="L10" s="268" t="s">
        <v>65</v>
      </c>
      <c r="M10" s="191" t="s">
        <v>32</v>
      </c>
      <c r="N10" s="192" t="s">
        <v>29</v>
      </c>
      <c r="O10" s="192" t="s">
        <v>29</v>
      </c>
      <c r="P10" s="192" t="s">
        <v>161</v>
      </c>
      <c r="Q10" s="165"/>
      <c r="R10" s="193" t="s">
        <v>29</v>
      </c>
      <c r="U10" s="11" t="str">
        <f t="shared" si="5"/>
        <v>Lettonie</v>
      </c>
      <c r="V10" s="12">
        <f t="shared" si="15"/>
        <v>0</v>
      </c>
      <c r="W10" s="13">
        <f t="shared" si="15"/>
        <v>0</v>
      </c>
      <c r="X10" s="13">
        <f>IF(OR(F10="-",F10=""),0,IF(MID(F10,1,1)&gt;MID(F10,3,1),3,        IF(MID(F10,1,1)=MID(F10,3,1),1,         IF(MID(F10,1,1)&lt;MID(F10,3,1),0)        )))</f>
        <v>0</v>
      </c>
      <c r="Y10" s="13">
        <f>IF(OR(G10="-",G10=""),0,IF(MID(G10,1,1)&gt;MID(G10,3,1),3,        IF(MID(G10,1,1)=MID(G10,3,1),1,         IF(MID(G10,1,1)&lt;MID(G10,3,1),0)        )))</f>
        <v>1</v>
      </c>
      <c r="Z10" s="27"/>
      <c r="AA10" s="14">
        <f>IF(OR(I10="-",I10=""),0,IF(MID(I10,1,1)&gt;MID(I10,3,1),3,        IF(MID(I10,1,1)=MID(I10,3,1),1,         IF(MID(I10,1,1)&lt;MID(I10,3,1),0)        )))</f>
        <v>0</v>
      </c>
      <c r="AB10" s="3">
        <v>5</v>
      </c>
      <c r="AC10" s="22">
        <f>IF(OR(D10="-",D10=""),0,IF(MID(D10,3,1)&gt;MID(D10,1,1),3,        IF(MID(D10,3,1)=MID(D10,1,1),1,         IF(MID(D10,3,1)&lt;MID(D10,1,1),0)        )))</f>
        <v>3</v>
      </c>
      <c r="AD10" s="13">
        <f>IF(OR(E10="-",E10=""),0,IF(MID(E10,3,1)&gt;MID(E10,1,1),3,        IF(MID(E10,3,1)=MID(E10,1,1),1,         IF(MID(E10,3,1)&lt;MID(E10,1,1),0)        )))</f>
        <v>3</v>
      </c>
      <c r="AE10" s="13">
        <f>IF(OR(F10="-",F10=""),0,IF(MID(F10,3,1)&gt;MID(F10,1,1),3,        IF(MID(F10,3,1)=MID(F10,1,1),1,         IF(MID(F10,3,1)&lt;MID(F10,1,1),0)        )))</f>
        <v>3</v>
      </c>
      <c r="AF10" s="13">
        <f>IF(OR(G10="-",G10=""),0,IF(MID(G10,3,1)&gt;MID(G10,1,1),3,        IF(MID(G10,3,1)=MID(G10,1,1),1,         IF(MID(G10,3,1)&lt;MID(G10,1,1),0)        )))</f>
        <v>1</v>
      </c>
      <c r="AG10" s="27"/>
      <c r="AH10" s="14">
        <f>IF(OR(I10="-",I10=""),0,IF(MID(I10,3,1)&gt;MID(I10,1,1),3,        IF(MID(I10,3,1)=MID(I10,1,1),1,         IF(MID(I10,3,1)&lt;MID(I10,1,1),0)        )))</f>
        <v>3</v>
      </c>
      <c r="AI10" s="36"/>
      <c r="AJ10" s="36"/>
      <c r="AR10" s="11" t="str">
        <f t="shared" si="6"/>
        <v>Lettonie</v>
      </c>
      <c r="AS10" s="12">
        <f>BP10-BW10</f>
        <v>-1</v>
      </c>
      <c r="AT10" s="12">
        <f>BQ10-BX10</f>
        <v>-3</v>
      </c>
      <c r="AU10" s="12">
        <f>BR10-BY10</f>
        <v>-2</v>
      </c>
      <c r="AV10" s="12">
        <f>BS10-BZ10</f>
        <v>0</v>
      </c>
      <c r="AW10" s="80"/>
      <c r="AX10" s="69">
        <f>BU10-CB10</f>
        <v>-1</v>
      </c>
      <c r="AY10" s="45"/>
      <c r="AZ10" s="22">
        <f t="shared" si="16"/>
        <v>1</v>
      </c>
      <c r="BA10" s="13">
        <f>BX10-BQ10</f>
        <v>3</v>
      </c>
      <c r="BB10" s="13">
        <f>BY10-BR10</f>
        <v>2</v>
      </c>
      <c r="BC10" s="13">
        <f>BZ10-BS10</f>
        <v>0</v>
      </c>
      <c r="BD10" s="27"/>
      <c r="BE10" s="14">
        <f>CB10-BU10</f>
        <v>1</v>
      </c>
      <c r="BF10" s="77"/>
      <c r="BG10" s="45"/>
      <c r="BH10" s="45"/>
      <c r="BI10" s="45"/>
      <c r="BJ10" s="45"/>
      <c r="BK10" s="45"/>
      <c r="BL10" s="45"/>
      <c r="BM10" s="45"/>
      <c r="BO10" s="11" t="str">
        <f t="shared" si="7"/>
        <v>Lettonie</v>
      </c>
      <c r="BP10" s="12">
        <f>IF(OR(D10="-",D10=""),0,_xlfn.NUMBERVALUE(MID(D10,1,1)))</f>
        <v>1</v>
      </c>
      <c r="BQ10" s="13">
        <f>IF(OR(E10="-",E10=""),0,_xlfn.NUMBERVALUE(MID(E10,1,1)))</f>
        <v>0</v>
      </c>
      <c r="BR10" s="13">
        <f>IF(OR(F10="-",F10=""),0,_xlfn.NUMBERVALUE(MID(F10,1,1)))</f>
        <v>0</v>
      </c>
      <c r="BS10" s="13">
        <f>IF(OR(G10="-",G10=""),0,_xlfn.NUMBERVALUE(MID(G10,1,1)))</f>
        <v>1</v>
      </c>
      <c r="BT10" s="27"/>
      <c r="BU10" s="14">
        <f>IF(OR(I10="-",I10=""),0,_xlfn.NUMBERVALUE(MID(I10,1,1)))</f>
        <v>0</v>
      </c>
      <c r="BV10" s="18"/>
      <c r="BW10" s="31">
        <f>IF(OR(D10="-",D10=""),0,_xlfn.NUMBERVALUE(MID(D10,3,1)))</f>
        <v>2</v>
      </c>
      <c r="BX10" s="9">
        <f>IF(OR(E10="-",E10=""),0,_xlfn.NUMBERVALUE(MID(E10,3,1)))</f>
        <v>3</v>
      </c>
      <c r="BY10" s="9">
        <f>IF(OR(F10="-",F10=""),0,_xlfn.NUMBERVALUE(MID(F10,3,1)))</f>
        <v>2</v>
      </c>
      <c r="BZ10" s="9">
        <f>IF(OR(G10="-",G10=""),0,_xlfn.NUMBERVALUE(MID(G10,3,1)))</f>
        <v>1</v>
      </c>
      <c r="CA10" s="27"/>
      <c r="CB10" s="10">
        <f>IF(OR(I10="-",I10=""),0,_xlfn.NUMBERVALUE(MID(I10,3,1)))</f>
        <v>1</v>
      </c>
      <c r="CD10" s="15" t="s">
        <v>93</v>
      </c>
      <c r="CE10" s="16">
        <f>SUM(CE8,CE9)</f>
        <v>19</v>
      </c>
      <c r="CF10" s="17">
        <f t="shared" ref="CF10:CJ10" si="21">SUM(CF8,CF9)</f>
        <v>17</v>
      </c>
      <c r="CG10" s="17">
        <f>SUM(CG8,CG9)</f>
        <v>17</v>
      </c>
      <c r="CH10" s="17">
        <f t="shared" si="21"/>
        <v>14</v>
      </c>
      <c r="CI10" s="17">
        <f t="shared" si="21"/>
        <v>6</v>
      </c>
      <c r="CJ10" s="24">
        <f t="shared" si="21"/>
        <v>7</v>
      </c>
      <c r="CL10" s="11" t="str">
        <f t="shared" si="8"/>
        <v>Lettonie</v>
      </c>
      <c r="CM10" s="12">
        <f>-CQ6</f>
        <v>-3</v>
      </c>
      <c r="CN10" s="37">
        <f>-CQ7</f>
        <v>-3</v>
      </c>
      <c r="CO10" s="37">
        <f>-CQ8</f>
        <v>-6</v>
      </c>
      <c r="CP10" s="37">
        <f>-CQ9</f>
        <v>0</v>
      </c>
      <c r="CQ10" s="27"/>
      <c r="CR10" s="41">
        <f>AA10+AG11-(Z11+AH10)</f>
        <v>-3</v>
      </c>
      <c r="CS10" s="40"/>
      <c r="CT10" s="8" t="str">
        <f t="shared" si="9"/>
        <v>Lettonie</v>
      </c>
      <c r="CU10" s="51">
        <f>$DK10+0.01*CM10+0.0001*(BP10+CA6)+0.000001*CA6</f>
        <v>4.9702010000000003</v>
      </c>
      <c r="CV10" s="51">
        <f>$DK10+0.01*CN10+0.0001*(BQ10+CA7)+0.000001*CA7</f>
        <v>4.9702020000000005</v>
      </c>
      <c r="CW10" s="51">
        <f>$DK10+0.01*CO10+0.0001*(BR10+CA8)+0.000001*CA8</f>
        <v>4.9400000000000004</v>
      </c>
      <c r="CX10" s="51">
        <f>$DK10+0.01*CP10+0.0001*(BS10+CA9)+0.000001*CA9</f>
        <v>5.0002010000000006</v>
      </c>
      <c r="CY10" s="47"/>
      <c r="CZ10" s="52">
        <f>$DK10+0.01*CR10+0.0001*(BU10+CA11)+0.000001*CA11</f>
        <v>4.97</v>
      </c>
      <c r="DB10" s="19" t="str">
        <f t="shared" si="14"/>
        <v>Lettonie</v>
      </c>
      <c r="DC10" s="3" t="str">
        <f>IF(CZ10&gt;=CY11,CT10,CT11)</f>
        <v>Kazakhstan</v>
      </c>
      <c r="DJ10" s="63" t="str">
        <f t="shared" si="10"/>
        <v>Lettonie</v>
      </c>
      <c r="DK10" s="66">
        <f>AO8</f>
        <v>5</v>
      </c>
      <c r="DL10" s="73">
        <f>COUNTIF(DC6:DG10,C10)</f>
        <v>0</v>
      </c>
      <c r="DM10" s="11" t="str">
        <f t="shared" si="11"/>
        <v>Lettonie</v>
      </c>
      <c r="DO10" s="11">
        <v>5</v>
      </c>
      <c r="DP10" s="69" t="str">
        <f>VLOOKUP(1,DL6:DM11,2,FALSE)</f>
        <v>Kazakhstan</v>
      </c>
      <c r="DQ10" s="63">
        <v>5</v>
      </c>
      <c r="DR10" s="11">
        <f>VLOOKUP(DP10,U6:AB11,8,FALSE)</f>
        <v>6</v>
      </c>
      <c r="DT10" s="8" t="str">
        <f>DP22</f>
        <v>Ukraine</v>
      </c>
      <c r="DU10" s="39">
        <f>HLOOKUP(DP22,AK21:AP22,2,FALSE)-VLOOKUP(DT10,U20:AA25,VLOOKUP(DP25,DP20:DR25,3,FALSE)+1,FALSE)-HLOOKUP(DT10,AC19:AH25,VLOOKUP(DP25,DP20:DR25,3,FALSE)+1,FALSE)</f>
        <v>13</v>
      </c>
      <c r="DV10" s="9">
        <f>HLOOKUP(DP22,BH22:BM23,2,FALSE)-VLOOKUP(DT10,AR20:AX25,VLOOKUP(DP25,DP20:DR25,3,FALSE)+1,FALSE)-HLOOKUP(DT10,AZ19:BE25,VLOOKUP(DP25,DP20:DR25,3,FALSE)+1,FALSE)</f>
        <v>7</v>
      </c>
      <c r="DW10" s="9">
        <f>HLOOKUP(DP22,CE21:CJ24,4,FALSE)-VLOOKUP(DT10,BO20:BU25,VLOOKUP(DP25,DP20:DR25,3,FALSE)+1,FALSE)-HLOOKUP(DT10,BW19:CB25,VLOOKUP(DP25,DP20:DR25,3,FALSE)+1,FALSE)</f>
        <v>11</v>
      </c>
      <c r="DX10" s="9">
        <f>HLOOKUP(DP22,CE21:CJ23,3,FALSE)-HLOOKUP(DT10,BW19:CB25,VLOOKUP(DP25,DP20:DR25,3,FALSE)+1,FALSE)</f>
        <v>5</v>
      </c>
      <c r="DY10" s="90">
        <f t="shared" si="18"/>
        <v>4</v>
      </c>
      <c r="DZ10" s="8">
        <f t="shared" si="19"/>
        <v>13.071104999999999</v>
      </c>
      <c r="EA10" s="8" t="str">
        <f t="shared" si="20"/>
        <v>Ukraine</v>
      </c>
    </row>
    <row r="11" spans="2:131" ht="15.75" customHeight="1" thickBot="1" x14ac:dyDescent="0.3">
      <c r="B11" s="558"/>
      <c r="C11" s="291" t="s">
        <v>14</v>
      </c>
      <c r="D11" s="253" t="s">
        <v>21</v>
      </c>
      <c r="E11" s="254" t="s">
        <v>12</v>
      </c>
      <c r="F11" s="254" t="s">
        <v>22</v>
      </c>
      <c r="G11" s="254" t="s">
        <v>29</v>
      </c>
      <c r="H11" s="254" t="s">
        <v>13</v>
      </c>
      <c r="I11" s="164"/>
      <c r="K11" s="547"/>
      <c r="L11" s="269" t="s">
        <v>66</v>
      </c>
      <c r="M11" s="194" t="s">
        <v>27</v>
      </c>
      <c r="N11" s="195" t="s">
        <v>12</v>
      </c>
      <c r="O11" s="195" t="s">
        <v>27</v>
      </c>
      <c r="P11" s="195" t="s">
        <v>29</v>
      </c>
      <c r="Q11" s="195" t="s">
        <v>23</v>
      </c>
      <c r="R11" s="164"/>
      <c r="U11" s="15" t="str">
        <f t="shared" si="5"/>
        <v>Kazakhstan</v>
      </c>
      <c r="V11" s="16">
        <f t="shared" si="15"/>
        <v>0</v>
      </c>
      <c r="W11" s="17">
        <f t="shared" si="15"/>
        <v>0</v>
      </c>
      <c r="X11" s="17">
        <f>IF(OR(F11="-",F11=""),0,IF(MID(F11,1,1)&gt;MID(F11,3,1),3,        IF(MID(F11,1,1)=MID(F11,3,1),1,         IF(MID(F11,1,1)&lt;MID(F11,3,1),0)        )))</f>
        <v>0</v>
      </c>
      <c r="Y11" s="17">
        <f>IF(OR(G11="-",G11=""),0,IF(MID(G11,1,1)&gt;MID(G11,3,1),3,        IF(MID(G11,1,1)=MID(G11,3,1),1,         IF(MID(G11,1,1)&lt;MID(G11,3,1),0)        )))</f>
        <v>0</v>
      </c>
      <c r="Z11" s="17">
        <f>IF(OR(H11="-",H11=""),0,IF(MID(H11,1,1)&gt;MID(H11,3,1),3,        IF(MID(H11,1,1)=MID(H11,3,1),1,         IF(MID(H11,1,1)&lt;MID(H11,3,1),0)        )))</f>
        <v>1</v>
      </c>
      <c r="AA11" s="28"/>
      <c r="AB11" s="3">
        <v>6</v>
      </c>
      <c r="AC11" s="23">
        <f>IF(OR(D11="-",D11=""),0,IF(MID(D11,3,1)&gt;MID(D11,1,1),3,        IF(MID(D11,3,1)=MID(D11,1,1),1,         IF(MID(D11,3,1)&lt;MID(D11,1,1),0)        )))</f>
        <v>3</v>
      </c>
      <c r="AD11" s="17">
        <f>IF(OR(E11="-",E11=""),0,IF(MID(E11,3,1)&gt;MID(E11,1,1),3,        IF(MID(E11,3,1)=MID(E11,1,1),1,         IF(MID(E11,3,1)&lt;MID(E11,1,1),0)        )))</f>
        <v>3</v>
      </c>
      <c r="AE11" s="17">
        <f>IF(OR(F11="-",F11=""),0,IF(MID(F11,3,1)&gt;MID(F11,1,1),3,        IF(MID(F11,3,1)=MID(F11,1,1),1,         IF(MID(F11,3,1)&lt;MID(F11,1,1),0)        )))</f>
        <v>3</v>
      </c>
      <c r="AF11" s="17">
        <f>IF(OR(G11="-",G11=""),0,IF(MID(G11,3,1)&gt;MID(G11,1,1),3,        IF(MID(G11,3,1)=MID(G11,1,1),1,         IF(MID(G11,3,1)&lt;MID(G11,1,1),0)        )))</f>
        <v>3</v>
      </c>
      <c r="AG11" s="17">
        <f>IF(OR(H11="-",H11=""),0,IF(MID(H11,3,1)&gt;MID(H11,1,1),3,        IF(MID(H11,3,1)=MID(H11,1,1),1,         IF(MID(H11,3,1)&lt;MID(H11,1,1),0)        )))</f>
        <v>1</v>
      </c>
      <c r="AH11" s="28"/>
      <c r="AI11" s="36"/>
      <c r="AJ11" s="36"/>
      <c r="AR11" s="15" t="str">
        <f t="shared" si="6"/>
        <v>Kazakhstan</v>
      </c>
      <c r="AS11" s="16">
        <f>BP11-BW11</f>
        <v>-2</v>
      </c>
      <c r="AT11" s="16">
        <f>BQ11-BX11</f>
        <v>-3</v>
      </c>
      <c r="AU11" s="16">
        <f>BR11-BY11</f>
        <v>-1</v>
      </c>
      <c r="AV11" s="16">
        <f>BS11-BZ11</f>
        <v>-1</v>
      </c>
      <c r="AW11" s="16">
        <f>BT11-CA11</f>
        <v>0</v>
      </c>
      <c r="AX11" s="82"/>
      <c r="AY11" s="45"/>
      <c r="AZ11" s="23">
        <f t="shared" si="16"/>
        <v>2</v>
      </c>
      <c r="BA11" s="17">
        <f>BX11-BQ11</f>
        <v>3</v>
      </c>
      <c r="BB11" s="17">
        <f>BY11-BR11</f>
        <v>1</v>
      </c>
      <c r="BC11" s="17">
        <f>BZ11-BS11</f>
        <v>1</v>
      </c>
      <c r="BD11" s="17">
        <f>CA11-BT11</f>
        <v>0</v>
      </c>
      <c r="BE11" s="28"/>
      <c r="BF11" s="77"/>
      <c r="BG11" s="77"/>
      <c r="BI11" s="77"/>
      <c r="BK11" s="77"/>
      <c r="BM11" s="77"/>
      <c r="BO11" s="15" t="str">
        <f t="shared" si="7"/>
        <v>Kazakhstan</v>
      </c>
      <c r="BP11" s="16">
        <f>IF(OR(D11="-",D11=""),0,_xlfn.NUMBERVALUE(MID(D11,1,1)))</f>
        <v>2</v>
      </c>
      <c r="BQ11" s="17">
        <f>IF(OR(E11="-",E11=""),0,_xlfn.NUMBERVALUE(MID(E11,1,1)))</f>
        <v>0</v>
      </c>
      <c r="BR11" s="17">
        <f>IF(OR(F11="-",F11=""),0,_xlfn.NUMBERVALUE(MID(F11,1,1)))</f>
        <v>1</v>
      </c>
      <c r="BS11" s="17">
        <f>IF(OR(G11="-",G11=""),0,_xlfn.NUMBERVALUE(MID(G11,1,1)))</f>
        <v>0</v>
      </c>
      <c r="BT11" s="17">
        <f>IF(OR(H11="-",H11=""),0,_xlfn.NUMBERVALUE(MID(H11,1,1)))</f>
        <v>0</v>
      </c>
      <c r="BU11" s="28"/>
      <c r="BV11" s="18"/>
      <c r="BW11" s="34">
        <f>IF(OR(D11="-",D11=""),0,_xlfn.NUMBERVALUE(MID(D11,3,1)))</f>
        <v>4</v>
      </c>
      <c r="BX11" s="32">
        <f>IF(OR(E11="-",E11=""),0,_xlfn.NUMBERVALUE(MID(E11,3,1)))</f>
        <v>3</v>
      </c>
      <c r="BY11" s="32">
        <f>IF(OR(F11="-",F11=""),0,_xlfn.NUMBERVALUE(MID(F11,3,1)))</f>
        <v>2</v>
      </c>
      <c r="BZ11" s="32">
        <f>IF(OR(G11="-",G11=""),0,_xlfn.NUMBERVALUE(MID(G11,3,1)))</f>
        <v>1</v>
      </c>
      <c r="CA11" s="32">
        <f>IF(OR(H11="-",H11=""),0,_xlfn.NUMBERVALUE(MID(H11,3,1)))</f>
        <v>0</v>
      </c>
      <c r="CB11" s="28"/>
      <c r="CL11" s="15" t="str">
        <f t="shared" si="8"/>
        <v>Kazakhstan</v>
      </c>
      <c r="CM11" s="16">
        <f>-CR6</f>
        <v>-6</v>
      </c>
      <c r="CN11" s="17">
        <f>-CR7</f>
        <v>-3</v>
      </c>
      <c r="CO11" s="17">
        <f>-CR8</f>
        <v>-6</v>
      </c>
      <c r="CP11" s="17">
        <f>-CR9</f>
        <v>-6</v>
      </c>
      <c r="CQ11" s="17">
        <f>-CR10</f>
        <v>3</v>
      </c>
      <c r="CR11" s="28"/>
      <c r="CS11" s="40"/>
      <c r="CT11" s="8" t="str">
        <f t="shared" si="9"/>
        <v>Kazakhstan</v>
      </c>
      <c r="CU11" s="51">
        <f>$DK11+0.01*CM11+0.0001*(BP11+CB6)+0.000001*CB6</f>
        <v>4.9403010000000007</v>
      </c>
      <c r="CV11" s="51">
        <f>$DK11+0.01*CN11+0.0001*(BQ11+CB7)+0.000001*CB7</f>
        <v>4.97</v>
      </c>
      <c r="CW11" s="51">
        <f>$DK11+0.01*CO11+0.0001*(BR11+CB8)+0.000001*CB8</f>
        <v>4.940201000000001</v>
      </c>
      <c r="CX11" s="51">
        <f>$DK11+0.01*CP11+0.0001*(BS11+CB9)+0.000001*CB9</f>
        <v>4.9401010000000003</v>
      </c>
      <c r="CY11" s="51">
        <f>$DK11+0.01*CQ11+0.0001*(BT11+CB10)+0.000001*CB10</f>
        <v>5.0301010000000002</v>
      </c>
      <c r="CZ11" s="55"/>
      <c r="DJ11" s="64" t="str">
        <f t="shared" si="10"/>
        <v>Kazakhstan</v>
      </c>
      <c r="DK11" s="67">
        <f>AP8</f>
        <v>5</v>
      </c>
      <c r="DL11" s="74">
        <f>COUNTIF(DC6:DG10,C11)</f>
        <v>1</v>
      </c>
      <c r="DM11" s="15" t="str">
        <f t="shared" si="11"/>
        <v>Kazakhstan</v>
      </c>
      <c r="DO11" s="15">
        <v>6</v>
      </c>
      <c r="DP11" s="70" t="str">
        <f>VLOOKUP(0,DL6:DM11,2,FALSE)</f>
        <v>Lettonie</v>
      </c>
      <c r="DQ11" s="64">
        <v>6</v>
      </c>
      <c r="DR11" s="15">
        <f>VLOOKUP(DP11,U6:AB11,8,FALSE)</f>
        <v>5</v>
      </c>
      <c r="DT11" s="8" t="str">
        <f>DP29</f>
        <v>Irlande</v>
      </c>
      <c r="DU11" s="39">
        <f>HLOOKUP(DP29,AK28:AP29,2,FALSE)-VLOOKUP(DT11,U27:AA32,VLOOKUP(DP32,DP27:DR32,3,FALSE)+1,FALSE)-HLOOKUP(DT11,AC26:AH32,VLOOKUP(DP32,DP27:DR32,3,FALSE)+1,FALSE)</f>
        <v>12</v>
      </c>
      <c r="DV11" s="9">
        <f>HLOOKUP(DP29,BH29:BM30,2,FALSE)-VLOOKUP(DT11,AR27:AX32,VLOOKUP(DP32,DP27:DR32,3,FALSE)+1,FALSE)-HLOOKUP(DT11,AZ26:BE32,VLOOKUP(DP32,DP27:DR32,3,FALSE)+1,FALSE)</f>
        <v>1</v>
      </c>
      <c r="DW11" s="9">
        <f>HLOOKUP(DP29,CE28:CJ31,4,FALSE)-VLOOKUP(DT11,BO27:BU32,VLOOKUP(DP32,DP27:DR32,3,FALSE)+1,FALSE)-HLOOKUP(DT11,BW26:CB32,VLOOKUP(DP32,DP27:DR32,3,FALSE)+1,FALSE)</f>
        <v>8</v>
      </c>
      <c r="DX11" s="9">
        <f>HLOOKUP(DP29,CE28:CJ30,3,FALSE)-HLOOKUP(DT11,BW26:CB32,VLOOKUP(DP32,DP27:DR32,3,FALSE)+1,FALSE)</f>
        <v>4</v>
      </c>
      <c r="DY11" s="90">
        <f t="shared" si="18"/>
        <v>7</v>
      </c>
      <c r="DZ11" s="8">
        <f t="shared" si="19"/>
        <v>12.010804</v>
      </c>
      <c r="EA11" s="8" t="str">
        <f t="shared" si="20"/>
        <v>Irlande</v>
      </c>
    </row>
    <row r="12" spans="2:131" ht="15.75" customHeight="1" thickBot="1" x14ac:dyDescent="0.3">
      <c r="B12" s="559" t="s">
        <v>1</v>
      </c>
      <c r="C12" s="292" t="s">
        <v>20</v>
      </c>
      <c r="D12" s="255" t="str">
        <f t="shared" ref="D12" si="22">C13</f>
        <v>Pays de Galles</v>
      </c>
      <c r="E12" s="256" t="str">
        <f t="shared" ref="E12" si="23">C14</f>
        <v>Israël</v>
      </c>
      <c r="F12" s="256" t="str">
        <f t="shared" ref="F12" si="24">C15</f>
        <v>Belgique</v>
      </c>
      <c r="G12" s="256" t="str">
        <f t="shared" ref="G12" si="25">C16</f>
        <v>Chypre</v>
      </c>
      <c r="H12" s="256" t="str">
        <f t="shared" ref="H12" si="26">C17</f>
        <v>Bosnie</v>
      </c>
      <c r="I12" s="257" t="str">
        <f t="shared" ref="I12" si="27">C18</f>
        <v>Andorre</v>
      </c>
      <c r="K12" s="548" t="s">
        <v>6</v>
      </c>
      <c r="L12" s="270" t="s">
        <v>20</v>
      </c>
      <c r="M12" s="271" t="str">
        <f>L13</f>
        <v>Autriche</v>
      </c>
      <c r="N12" s="272" t="str">
        <f>L14</f>
        <v>Russie</v>
      </c>
      <c r="O12" s="272" t="str">
        <f>L15</f>
        <v>Suède</v>
      </c>
      <c r="P12" s="272" t="str">
        <f>L16</f>
        <v>Monténégro</v>
      </c>
      <c r="Q12" s="272" t="str">
        <f>L17</f>
        <v>Moldavie</v>
      </c>
      <c r="R12" s="273" t="str">
        <f>L18</f>
        <v>Liechtenstein</v>
      </c>
      <c r="T12" s="45"/>
      <c r="U12" s="45"/>
      <c r="V12" s="18"/>
      <c r="W12" s="18"/>
      <c r="X12" s="18"/>
      <c r="Y12" s="18"/>
      <c r="Z12" s="18"/>
      <c r="AA12" s="18"/>
      <c r="AC12" s="30" t="str">
        <f t="shared" ref="AC12:AH12" si="28">D12</f>
        <v>Pays de Galles</v>
      </c>
      <c r="AD12" s="6" t="str">
        <f t="shared" si="28"/>
        <v>Israël</v>
      </c>
      <c r="AE12" s="6" t="str">
        <f t="shared" si="28"/>
        <v>Belgique</v>
      </c>
      <c r="AF12" s="6" t="str">
        <f t="shared" si="28"/>
        <v>Chypre</v>
      </c>
      <c r="AG12" s="6" t="str">
        <f t="shared" si="28"/>
        <v>Bosnie</v>
      </c>
      <c r="AH12" s="7" t="str">
        <f t="shared" si="28"/>
        <v>Andorre</v>
      </c>
      <c r="AI12" s="36"/>
      <c r="AJ12" s="45"/>
      <c r="AQ12" s="45"/>
      <c r="AR12" s="45"/>
      <c r="AS12" s="45"/>
      <c r="AT12" s="45"/>
      <c r="AU12" s="45"/>
      <c r="AV12" s="45"/>
      <c r="AW12" s="45"/>
      <c r="AX12" s="45"/>
      <c r="AY12" s="45"/>
      <c r="AZ12" s="83" t="str">
        <f t="shared" ref="AZ12:BE12" si="29">D12</f>
        <v>Pays de Galles</v>
      </c>
      <c r="BA12" s="84" t="str">
        <f t="shared" si="29"/>
        <v>Israël</v>
      </c>
      <c r="BB12" s="84" t="str">
        <f t="shared" si="29"/>
        <v>Belgique</v>
      </c>
      <c r="BC12" s="84" t="str">
        <f t="shared" si="29"/>
        <v>Chypre</v>
      </c>
      <c r="BD12" s="84" t="str">
        <f t="shared" si="29"/>
        <v>Bosnie</v>
      </c>
      <c r="BE12" s="85" t="str">
        <f t="shared" si="29"/>
        <v>Andorre</v>
      </c>
      <c r="BF12" s="77"/>
      <c r="BG12" s="77"/>
      <c r="BI12" s="77"/>
      <c r="BK12" s="77"/>
      <c r="BM12" s="77"/>
      <c r="BO12" s="35"/>
      <c r="BP12" s="18"/>
      <c r="BQ12" s="18"/>
      <c r="BR12" s="18"/>
      <c r="BS12" s="18"/>
      <c r="BT12" s="18"/>
      <c r="BU12" s="18"/>
      <c r="BV12" s="18"/>
      <c r="BW12" s="30" t="str">
        <f t="shared" ref="BW12:CB12" si="30">D12</f>
        <v>Pays de Galles</v>
      </c>
      <c r="BX12" s="6" t="str">
        <f t="shared" si="30"/>
        <v>Israël</v>
      </c>
      <c r="BY12" s="6" t="str">
        <f t="shared" si="30"/>
        <v>Belgique</v>
      </c>
      <c r="BZ12" s="6" t="str">
        <f t="shared" si="30"/>
        <v>Chypre</v>
      </c>
      <c r="CA12" s="6" t="str">
        <f t="shared" si="30"/>
        <v>Bosnie</v>
      </c>
      <c r="CB12" s="7" t="str">
        <f t="shared" si="30"/>
        <v>Andorre</v>
      </c>
      <c r="CL12" s="35"/>
      <c r="CM12" s="30" t="str">
        <f t="shared" ref="CM12:CR12" si="31">D12</f>
        <v>Pays de Galles</v>
      </c>
      <c r="CN12" s="6" t="str">
        <f t="shared" si="31"/>
        <v>Israël</v>
      </c>
      <c r="CO12" s="6" t="str">
        <f t="shared" si="31"/>
        <v>Belgique</v>
      </c>
      <c r="CP12" s="6" t="str">
        <f t="shared" si="31"/>
        <v>Chypre</v>
      </c>
      <c r="CQ12" s="6" t="str">
        <f t="shared" si="31"/>
        <v>Bosnie</v>
      </c>
      <c r="CR12" s="7" t="str">
        <f t="shared" si="31"/>
        <v>Andorre</v>
      </c>
      <c r="CT12" s="49"/>
      <c r="CU12" s="30" t="str">
        <f t="shared" ref="CU12:CZ12" si="32">D12</f>
        <v>Pays de Galles</v>
      </c>
      <c r="CV12" s="6" t="str">
        <f t="shared" si="32"/>
        <v>Israël</v>
      </c>
      <c r="CW12" s="6" t="str">
        <f t="shared" si="32"/>
        <v>Belgique</v>
      </c>
      <c r="CX12" s="6" t="str">
        <f t="shared" si="32"/>
        <v>Chypre</v>
      </c>
      <c r="CY12" s="6" t="str">
        <f t="shared" si="32"/>
        <v>Bosnie</v>
      </c>
      <c r="CZ12" s="7" t="str">
        <f t="shared" si="32"/>
        <v>Andorre</v>
      </c>
      <c r="DC12" s="56" t="str">
        <f>CZ12</f>
        <v>Andorre</v>
      </c>
      <c r="DD12" s="57" t="str">
        <f>CY12</f>
        <v>Bosnie</v>
      </c>
      <c r="DE12" s="57" t="str">
        <f>CX12</f>
        <v>Chypre</v>
      </c>
      <c r="DF12" s="57" t="str">
        <f>CW12</f>
        <v>Belgique</v>
      </c>
      <c r="DG12" s="58" t="str">
        <f>CV12</f>
        <v>Israël</v>
      </c>
      <c r="DJ12" s="43"/>
      <c r="DK12" s="43"/>
      <c r="DM12" s="45"/>
      <c r="DT12" s="8" t="str">
        <f>DP36</f>
        <v>Slovénie</v>
      </c>
      <c r="DU12" s="39">
        <f>HLOOKUP(DP36,AK35:AP36,2,FALSE)-VLOOKUP(DT12,U34:AA39,VLOOKUP(DP39,DP34:DR39,3,FALSE)+1,FALSE)-HLOOKUP(DT12,AC33:AH39,VLOOKUP(DP39,DP34:DR39,3,FALSE)+1,FALSE)</f>
        <v>10</v>
      </c>
      <c r="DV12" s="9">
        <f>HLOOKUP(DP36,BH36:BM37,2,FALSE)-VLOOKUP(DT12,AR34:AX39,VLOOKUP(DP39,DP34:DR39,3,FALSE)+1,FALSE)-HLOOKUP(DT12,AZ33:BE39,VLOOKUP(DP39,DP34:DR39,3,FALSE)+1,FALSE)</f>
        <v>-1</v>
      </c>
      <c r="DW12" s="9">
        <f>HLOOKUP(DP36,CE35:CJ38,4,FALSE)-VLOOKUP(DT12,BO34:BU39,VLOOKUP(DP39,DP34:DR39,3,FALSE)+1,FALSE)-HLOOKUP(DT12,BW33:CB39,VLOOKUP(DP39,DP34:DR39,3,FALSE)+1,FALSE)</f>
        <v>10</v>
      </c>
      <c r="DX12" s="9">
        <f>HLOOKUP(DP36,CE35:CJ37,3,FALSE)-HLOOKUP(DT12,BW33:CB39,VLOOKUP(DP39,DP34:DR39,3,FALSE)+1,FALSE)</f>
        <v>5</v>
      </c>
      <c r="DY12" s="90">
        <f t="shared" si="18"/>
        <v>11</v>
      </c>
      <c r="DZ12" s="8">
        <f t="shared" si="19"/>
        <v>9.9910049999999995</v>
      </c>
      <c r="EA12" s="8" t="str">
        <f t="shared" si="20"/>
        <v>Slovénie</v>
      </c>
    </row>
    <row r="13" spans="2:131" ht="15.75" customHeight="1" thickBot="1" x14ac:dyDescent="0.3">
      <c r="B13" s="560"/>
      <c r="C13" s="293" t="s">
        <v>35</v>
      </c>
      <c r="D13" s="166"/>
      <c r="E13" s="157" t="s">
        <v>13</v>
      </c>
      <c r="F13" s="157" t="s">
        <v>40</v>
      </c>
      <c r="G13" s="157" t="s">
        <v>23</v>
      </c>
      <c r="H13" s="157" t="s">
        <v>13</v>
      </c>
      <c r="I13" s="158" t="s">
        <v>9</v>
      </c>
      <c r="K13" s="549"/>
      <c r="L13" s="274" t="s">
        <v>67</v>
      </c>
      <c r="M13" s="166"/>
      <c r="N13" s="196" t="s">
        <v>40</v>
      </c>
      <c r="O13" s="196" t="s">
        <v>24</v>
      </c>
      <c r="P13" s="196" t="s">
        <v>40</v>
      </c>
      <c r="Q13" s="196" t="s">
        <v>40</v>
      </c>
      <c r="R13" s="197" t="s">
        <v>10</v>
      </c>
      <c r="U13" s="25" t="str">
        <f t="shared" ref="U13:U18" si="33">C13</f>
        <v>Pays de Galles</v>
      </c>
      <c r="V13" s="26"/>
      <c r="W13" s="20">
        <f>IF(OR(E13="-",E13=""),0,IF(MID(E13,1,1)&gt;MID(E13,3,1),3,        IF(MID(E13,1,1)=MID(E13,3,1),1,         IF(MID(E13,1,1)&lt;MID(E13,3,1),0)        )))</f>
        <v>1</v>
      </c>
      <c r="X13" s="20">
        <f>IF(OR(F13="-",F13=""),0,IF(MID(F13,1,1)&gt;MID(F13,3,1),3,        IF(MID(F13,1,1)=MID(F13,3,1),1,         IF(MID(F13,1,1)&lt;MID(F13,3,1),0)        )))</f>
        <v>3</v>
      </c>
      <c r="Y13" s="20">
        <f>IF(OR(G13="-",G13=""),0,IF(MID(G13,1,1)&gt;MID(G13,3,1),3,        IF(MID(G13,1,1)=MID(G13,3,1),1,         IF(MID(G13,1,1)&lt;MID(G13,3,1),0)        )))</f>
        <v>3</v>
      </c>
      <c r="Z13" s="20">
        <f>IF(OR(H13="-",H13=""),0,IF(MID(H13,1,1)&gt;MID(H13,3,1),3,        IF(MID(H13,1,1)=MID(H13,3,1),1,         IF(MID(H13,1,1)&lt;MID(H13,3,1),0)        )))</f>
        <v>1</v>
      </c>
      <c r="AA13" s="21">
        <f>IF(OR(I13="-",I13=""),0,IF(MID(I13,1,1)&gt;MID(I13,3,1),3,        IF(MID(I13,1,1)=MID(I13,3,1),1,         IF(MID(I13,1,1)&lt;MID(I13,3,1),0)        )))</f>
        <v>3</v>
      </c>
      <c r="AB13" s="3">
        <v>1</v>
      </c>
      <c r="AC13" s="29"/>
      <c r="AD13" s="9">
        <f>IF(OR(E13="-",E13=""),0,IF(MID(E13,3,1)&gt;MID(E13,1,1),3,        IF(MID(E13,3,1)=MID(E13,1,1),1,         IF(MID(E13,3,1)&lt;MID(E13,1,1),0)        )))</f>
        <v>1</v>
      </c>
      <c r="AE13" s="9">
        <f>IF(OR(F13="-",F13=""),0,IF(MID(F13,3,1)&gt;MID(F13,1,1),3,        IF(MID(F13,3,1)=MID(F13,1,1),1,         IF(MID(F13,3,1)&lt;MID(F13,1,1),0)        )))</f>
        <v>0</v>
      </c>
      <c r="AF13" s="9">
        <f>IF(OR(G13="-",G13=""),0,IF(MID(G13,3,1)&gt;MID(G13,1,1),3,        IF(MID(G13,3,1)=MID(G13,1,1),1,         IF(MID(G13,3,1)&lt;MID(G13,1,1),0)        )))</f>
        <v>0</v>
      </c>
      <c r="AG13" s="9">
        <f>IF(OR(H13="-",H13=""),0,IF(MID(H13,3,1)&gt;MID(H13,1,1),3,        IF(MID(H13,3,1)=MID(H13,1,1),1,         IF(MID(H13,3,1)&lt;MID(H13,1,1),0)        )))</f>
        <v>1</v>
      </c>
      <c r="AH13" s="10">
        <f>IF(OR(I13="-",I13=""),0,IF(MID(I13,3,1)&gt;MID(I13,1,1),3,        IF(MID(I13,3,1)=MID(I13,1,1),1,         IF(MID(I13,3,1)&lt;MID(I13,1,1),0)        )))</f>
        <v>0</v>
      </c>
      <c r="AI13" s="36"/>
      <c r="AJ13" s="45"/>
      <c r="AK13" s="525" t="s">
        <v>94</v>
      </c>
      <c r="AL13" s="526"/>
      <c r="AM13" s="526"/>
      <c r="AN13" s="526"/>
      <c r="AO13" s="526"/>
      <c r="AP13" s="527"/>
      <c r="AQ13" s="18"/>
      <c r="AR13" s="25" t="str">
        <f t="shared" ref="AR13:AR18" si="34">C13</f>
        <v>Pays de Galles</v>
      </c>
      <c r="AS13" s="26"/>
      <c r="AT13" s="81">
        <f t="shared" ref="AT13" si="35">BQ13-BX13</f>
        <v>0</v>
      </c>
      <c r="AU13" s="81">
        <f t="shared" ref="AU13:AU14" si="36">BR13-BY13</f>
        <v>1</v>
      </c>
      <c r="AV13" s="81">
        <f t="shared" ref="AV13:AV15" si="37">BS13-BZ13</f>
        <v>1</v>
      </c>
      <c r="AW13" s="81">
        <f t="shared" ref="AW13:AW16" si="38">BT13-CA13</f>
        <v>0</v>
      </c>
      <c r="AX13" s="68">
        <f t="shared" ref="AX13:AX16" si="39">BU13-CB13</f>
        <v>2</v>
      </c>
      <c r="AY13" s="45"/>
      <c r="AZ13" s="86"/>
      <c r="BA13" s="20">
        <f t="shared" ref="BA13" si="40">BX13-BQ13</f>
        <v>0</v>
      </c>
      <c r="BB13" s="20">
        <f t="shared" ref="BB13:BB14" si="41">BY13-BR13</f>
        <v>-1</v>
      </c>
      <c r="BC13" s="20">
        <f t="shared" ref="BC13:BC15" si="42">BZ13-BS13</f>
        <v>-1</v>
      </c>
      <c r="BD13" s="20">
        <f t="shared" ref="BD13:BD16" si="43">CA13-BT13</f>
        <v>0</v>
      </c>
      <c r="BE13" s="21">
        <f t="shared" ref="BE13:BE17" si="44">CB13-BU13</f>
        <v>-2</v>
      </c>
      <c r="BF13" s="77"/>
      <c r="BO13" s="25" t="str">
        <f t="shared" ref="BO13:BO18" si="45">C13</f>
        <v>Pays de Galles</v>
      </c>
      <c r="BP13" s="26"/>
      <c r="BQ13" s="20">
        <f>IF(OR(E13="-",E13=""),0,_xlfn.NUMBERVALUE(MID(E13,1,1)))</f>
        <v>0</v>
      </c>
      <c r="BR13" s="20">
        <f>IF(OR(F13="-",F13=""),0,_xlfn.NUMBERVALUE(MID(F13,1,1)))</f>
        <v>1</v>
      </c>
      <c r="BS13" s="20">
        <f>IF(OR(G13="-",G13=""),0,_xlfn.NUMBERVALUE(MID(G13,1,1)))</f>
        <v>2</v>
      </c>
      <c r="BT13" s="20">
        <f>IF(OR(H13="-",H13=""),0,_xlfn.NUMBERVALUE(MID(H13,1,1)))</f>
        <v>0</v>
      </c>
      <c r="BU13" s="21">
        <f>IF(OR(I13="-",I13=""),0,_xlfn.NUMBERVALUE(MID(I13,1,1)))</f>
        <v>2</v>
      </c>
      <c r="BV13" s="18"/>
      <c r="BW13" s="29"/>
      <c r="BX13" s="9">
        <f>IF(OR(E13="-",E13=""),0,_xlfn.NUMBERVALUE(MID(E13,3,1)))</f>
        <v>0</v>
      </c>
      <c r="BY13" s="9">
        <f>IF(OR(F13="-",F13=""),0,_xlfn.NUMBERVALUE(MID(F13,3,1)))</f>
        <v>0</v>
      </c>
      <c r="BZ13" s="9">
        <f>IF(OR(G13="-",G13=""),0,_xlfn.NUMBERVALUE(MID(G13,3,1)))</f>
        <v>1</v>
      </c>
      <c r="CA13" s="9">
        <f>IF(OR(H13="-",H13=""),0,_xlfn.NUMBERVALUE(MID(H13,3,1)))</f>
        <v>0</v>
      </c>
      <c r="CB13" s="10">
        <f>IF(OR(I13="-",I13=""),0,_xlfn.NUMBERVALUE(MID(I13,3,1)))</f>
        <v>0</v>
      </c>
      <c r="CE13" s="528" t="s">
        <v>90</v>
      </c>
      <c r="CF13" s="529"/>
      <c r="CG13" s="529"/>
      <c r="CH13" s="529"/>
      <c r="CI13" s="529"/>
      <c r="CJ13" s="530"/>
      <c r="CL13" s="25" t="str">
        <f t="shared" ref="CL13:CL18" si="46">C13</f>
        <v>Pays de Galles</v>
      </c>
      <c r="CM13" s="46"/>
      <c r="CN13" s="9">
        <f t="shared" ref="CN13" si="47">W13+AC14-(V14+AD13)</f>
        <v>3</v>
      </c>
      <c r="CO13" s="9">
        <f t="shared" ref="CO13" si="48">X13+AC15-(V15+AE13)</f>
        <v>3</v>
      </c>
      <c r="CP13" s="9">
        <f t="shared" ref="CP13" si="49">Y13+AC16-(V16+AF13)</f>
        <v>6</v>
      </c>
      <c r="CQ13" s="9">
        <f t="shared" ref="CQ13" si="50">Z13+AC17-(V17+AG13)</f>
        <v>-3</v>
      </c>
      <c r="CR13" s="10">
        <f t="shared" ref="CR13" si="51">AC18+AA13-(V18+AH13)</f>
        <v>6</v>
      </c>
      <c r="CT13" s="8" t="str">
        <f t="shared" ref="CT13:CT18" si="52">C13</f>
        <v>Pays de Galles</v>
      </c>
      <c r="CU13" s="47"/>
      <c r="CV13" s="51">
        <f>$DK13+0.01*CN13+0.0001*(BQ13+BW14)+0.000001*BW14</f>
        <v>21.030303</v>
      </c>
      <c r="CW13" s="51">
        <f>$DK13+0.01*CO13+0.0001*(BR13+BW15)+0.000001*BW15</f>
        <v>21.030100000000001</v>
      </c>
      <c r="CX13" s="51">
        <f>$DK13+0.01*CP13+0.0001*(BS13+BW16)+0.000001*BW16</f>
        <v>21.060300999999999</v>
      </c>
      <c r="CY13" s="51">
        <f>$DK13+0.01*CQ13+0.0001*(BT13+BW17)+0.000001*BW17</f>
        <v>20.97</v>
      </c>
      <c r="CZ13" s="52">
        <f>$DK13+0.01*CR13+0.0001*(BU13+BW18)+0.000001*BW18</f>
        <v>21.060401999999996</v>
      </c>
      <c r="DB13" s="60" t="str">
        <f>CT13</f>
        <v>Pays de Galles</v>
      </c>
      <c r="DC13" s="3" t="str">
        <f>IF(CZ13&gt;=CU18,CT13,CT18)</f>
        <v>Pays de Galles</v>
      </c>
      <c r="DD13" s="3" t="str">
        <f>IF(CY13&gt;=CU17,CT13,CT17)</f>
        <v>Pays de Galles</v>
      </c>
      <c r="DE13" s="3" t="str">
        <f>IF(CX13&gt;=CU16,CT13,CT16)</f>
        <v>Pays de Galles</v>
      </c>
      <c r="DF13" s="3" t="str">
        <f>IF(CW13&gt;=CU15,CT13,CT15)</f>
        <v>Belgique</v>
      </c>
      <c r="DG13" s="3" t="str">
        <f>IF(CV13&gt;=CU14,CT13,CT14)</f>
        <v>Pays de Galles</v>
      </c>
      <c r="DJ13" s="62" t="str">
        <f t="shared" ref="DJ13:DJ18" si="53">C13</f>
        <v>Pays de Galles</v>
      </c>
      <c r="DK13" s="65">
        <f>AK15</f>
        <v>21</v>
      </c>
      <c r="DL13" s="72">
        <f>COUNTIF(DC13:DG17,C13)</f>
        <v>4</v>
      </c>
      <c r="DM13" s="25" t="str">
        <f t="shared" ref="DM13:DM18" si="54">C13</f>
        <v>Pays de Galles</v>
      </c>
      <c r="DO13" s="25">
        <v>1</v>
      </c>
      <c r="DP13" s="68" t="str">
        <f>VLOOKUP(5,DL13:DM18,2,FALSE)</f>
        <v>Belgique</v>
      </c>
      <c r="DQ13" s="25">
        <v>1</v>
      </c>
      <c r="DR13" s="25">
        <f t="shared" ref="DR13" si="55">VLOOKUP(DP13,U13:AB18,8,FALSE)</f>
        <v>3</v>
      </c>
      <c r="DT13" s="8" t="str">
        <f>DP43</f>
        <v>Hongrie</v>
      </c>
      <c r="DU13" s="39">
        <f>HLOOKUP(DP43,AK42:AP43,2,FALSE)-VLOOKUP(DT13,U41:AA46,VLOOKUP(DP46,DP41:DR46,3,FALSE)+1,FALSE)-HLOOKUP(DT13,AC40:AH46,VLOOKUP(DP46,DP41:DR46,3,FALSE)+1,FALSE)</f>
        <v>15</v>
      </c>
      <c r="DV13" s="9">
        <f>HLOOKUP(DP43,BH43:BM44,2,FALSE)-VLOOKUP(DT13,AR41:AX46,VLOOKUP(DP46,DP41:DR46,3,FALSE)+1,FALSE)-HLOOKUP(DT13,AZ40:BE46,VLOOKUP(DP46,DP41:DR46,3,FALSE)+1,FALSE)</f>
        <v>3</v>
      </c>
      <c r="DW13" s="9">
        <f>HLOOKUP(DP43,CE42:CJ45,4,FALSE)-VLOOKUP(DT13,BO41:BU46,VLOOKUP(DP46,DP41:DR46,3,FALSE)+1,FALSE)-HLOOKUP(DT13,BW40:CB46,VLOOKUP(DP46,DP41:DR46,3,FALSE)+1,FALSE)</f>
        <v>8</v>
      </c>
      <c r="DX13" s="9">
        <f>HLOOKUP(DP43,CE42:CJ44,3,FALSE)-HLOOKUP(DT13,BW40:CB46,VLOOKUP(DP46,DP41:DR46,3,FALSE)+1,FALSE)</f>
        <v>4</v>
      </c>
      <c r="DY13" s="90">
        <f t="shared" si="18"/>
        <v>5</v>
      </c>
      <c r="DZ13" s="8">
        <f t="shared" si="19"/>
        <v>15.030804</v>
      </c>
      <c r="EA13" s="8" t="str">
        <f t="shared" si="20"/>
        <v>Hongrie</v>
      </c>
    </row>
    <row r="14" spans="2:131" ht="15.75" customHeight="1" thickBot="1" x14ac:dyDescent="0.3">
      <c r="B14" s="560"/>
      <c r="C14" s="294" t="s">
        <v>34</v>
      </c>
      <c r="D14" s="159" t="s">
        <v>12</v>
      </c>
      <c r="E14" s="165"/>
      <c r="F14" s="160" t="s">
        <v>29</v>
      </c>
      <c r="G14" s="160" t="s">
        <v>22</v>
      </c>
      <c r="H14" s="160" t="s">
        <v>10</v>
      </c>
      <c r="I14" s="161" t="s">
        <v>53</v>
      </c>
      <c r="K14" s="549"/>
      <c r="L14" s="275" t="s">
        <v>68</v>
      </c>
      <c r="M14" s="198" t="s">
        <v>29</v>
      </c>
      <c r="N14" s="165"/>
      <c r="O14" s="199" t="s">
        <v>40</v>
      </c>
      <c r="P14" s="199" t="s">
        <v>9</v>
      </c>
      <c r="Q14" s="199" t="s">
        <v>24</v>
      </c>
      <c r="R14" s="200" t="s">
        <v>53</v>
      </c>
      <c r="U14" s="11" t="str">
        <f t="shared" si="33"/>
        <v>Israël</v>
      </c>
      <c r="V14" s="12">
        <f>IF(OR(D14="-",D14=""),0,IF(MID(D14,1,1)&gt;MID(D14,3,1),3,        IF(MID(D14,1,1)=MID(D14,3,1),1,         IF(MID(D14,1,1)&lt;MID(D14,3,1),0)        )))</f>
        <v>0</v>
      </c>
      <c r="W14" s="27"/>
      <c r="X14" s="13">
        <f>IF(OR(F14="-",F14=""),0,IF(MID(F14,1,1)&gt;MID(F14,3,1),3,        IF(MID(F14,1,1)=MID(F14,3,1),1,         IF(MID(F14,1,1)&lt;MID(F14,3,1),0)        )))</f>
        <v>0</v>
      </c>
      <c r="Y14" s="13">
        <f>IF(OR(G14="-",G14=""),0,IF(MID(G14,1,1)&gt;MID(G14,3,1),3,        IF(MID(G14,1,1)=MID(G14,3,1),1,         IF(MID(G14,1,1)&lt;MID(G14,3,1),0)        )))</f>
        <v>0</v>
      </c>
      <c r="Z14" s="13">
        <f>IF(OR(H14="-",H14=""),0,IF(MID(H14,1,1)&gt;MID(H14,3,1),3,        IF(MID(H14,1,1)=MID(H14,3,1),1,         IF(MID(H14,1,1)&lt;MID(H14,3,1),0)        )))</f>
        <v>3</v>
      </c>
      <c r="AA14" s="14">
        <f>IF(OR(I14="-",I14=""),0,IF(MID(I14,1,1)&gt;MID(I14,3,1),3,        IF(MID(I14,1,1)=MID(I14,3,1),1,         IF(MID(I14,1,1)&lt;MID(I14,3,1),0)        )))</f>
        <v>3</v>
      </c>
      <c r="AB14" s="3">
        <v>2</v>
      </c>
      <c r="AC14" s="22">
        <f>IF(OR(D14="-",D14=""),0,IF(MID(D14,3,1)&gt;MID(D14,1,1),3,        IF(MID(D14,3,1)=MID(D14,1,1),1,         IF(MID(D14,3,1)&lt;MID(D14,1,1),0)        )))</f>
        <v>3</v>
      </c>
      <c r="AD14" s="27"/>
      <c r="AE14" s="13">
        <f>IF(OR(F14="-",F14=""),0,IF(MID(F14,3,1)&gt;MID(F14,1,1),3,        IF(MID(F14,3,1)=MID(F14,1,1),1,         IF(MID(F14,3,1)&lt;MID(F14,1,1),0)        )))</f>
        <v>3</v>
      </c>
      <c r="AF14" s="13">
        <f>IF(OR(G14="-",G14=""),0,IF(MID(G14,3,1)&gt;MID(G14,1,1),3,        IF(MID(G14,3,1)=MID(G14,1,1),1,         IF(MID(G14,3,1)&lt;MID(G14,1,1),0)        )))</f>
        <v>3</v>
      </c>
      <c r="AG14" s="13">
        <f>IF(OR(H14="-",H14=""),0,IF(MID(H14,3,1)&gt;MID(H14,1,1),3,        IF(MID(H14,3,1)=MID(H14,1,1),1,         IF(MID(H14,3,1)&lt;MID(H14,1,1),0)        )))</f>
        <v>0</v>
      </c>
      <c r="AH14" s="14">
        <f>IF(OR(I14="-",I14=""),0,IF(MID(I14,3,1)&gt;MID(I14,1,1),3,        IF(MID(I14,3,1)=MID(I14,1,1),1,         IF(MID(I14,3,1)&lt;MID(I14,1,1),0)        )))</f>
        <v>0</v>
      </c>
      <c r="AI14" s="36"/>
      <c r="AJ14" s="77"/>
      <c r="AK14" s="31" t="str">
        <f t="shared" ref="AK14:AP14" si="56">D12</f>
        <v>Pays de Galles</v>
      </c>
      <c r="AL14" s="9" t="str">
        <f t="shared" si="56"/>
        <v>Israël</v>
      </c>
      <c r="AM14" s="9" t="str">
        <f t="shared" si="56"/>
        <v>Belgique</v>
      </c>
      <c r="AN14" s="9" t="str">
        <f t="shared" si="56"/>
        <v>Chypre</v>
      </c>
      <c r="AO14" s="9" t="str">
        <f t="shared" si="56"/>
        <v>Bosnie</v>
      </c>
      <c r="AP14" s="10" t="str">
        <f t="shared" si="56"/>
        <v>Andorre</v>
      </c>
      <c r="AQ14" s="18"/>
      <c r="AR14" s="11" t="str">
        <f t="shared" si="34"/>
        <v>Israël</v>
      </c>
      <c r="AS14" s="12">
        <f t="shared" ref="AS14:AS18" si="57">BP14-BW14</f>
        <v>-3</v>
      </c>
      <c r="AT14" s="80"/>
      <c r="AU14" s="12">
        <f t="shared" si="36"/>
        <v>-1</v>
      </c>
      <c r="AV14" s="12">
        <f t="shared" si="37"/>
        <v>-1</v>
      </c>
      <c r="AW14" s="12">
        <f t="shared" si="38"/>
        <v>3</v>
      </c>
      <c r="AX14" s="69">
        <f t="shared" si="39"/>
        <v>4</v>
      </c>
      <c r="AY14" s="45"/>
      <c r="AZ14" s="22">
        <f t="shared" ref="AZ14:AZ18" si="58">BW14-BP14</f>
        <v>3</v>
      </c>
      <c r="BA14" s="27"/>
      <c r="BB14" s="13">
        <f t="shared" si="41"/>
        <v>1</v>
      </c>
      <c r="BC14" s="13">
        <f t="shared" si="42"/>
        <v>1</v>
      </c>
      <c r="BD14" s="13">
        <f t="shared" si="43"/>
        <v>-3</v>
      </c>
      <c r="BE14" s="14">
        <f t="shared" si="44"/>
        <v>-4</v>
      </c>
      <c r="BF14" s="77"/>
      <c r="BG14" s="3"/>
      <c r="BH14" s="528" t="s">
        <v>104</v>
      </c>
      <c r="BI14" s="529"/>
      <c r="BJ14" s="529"/>
      <c r="BK14" s="529"/>
      <c r="BL14" s="529"/>
      <c r="BM14" s="530"/>
      <c r="BO14" s="11" t="str">
        <f t="shared" si="45"/>
        <v>Israël</v>
      </c>
      <c r="BP14" s="12">
        <f>IF(OR(D14="-",D14=""),0,_xlfn.NUMBERVALUE(MID(D14,1,1)))</f>
        <v>0</v>
      </c>
      <c r="BQ14" s="27"/>
      <c r="BR14" s="13">
        <f>IF(OR(F14="-",F14=""),0,_xlfn.NUMBERVALUE(MID(F14,1,1)))</f>
        <v>0</v>
      </c>
      <c r="BS14" s="13">
        <f>IF(OR(G14="-",G14=""),0,_xlfn.NUMBERVALUE(MID(G14,1,1)))</f>
        <v>1</v>
      </c>
      <c r="BT14" s="13">
        <f>IF(OR(H14="-",H14=""),0,_xlfn.NUMBERVALUE(MID(H14,1,1)))</f>
        <v>3</v>
      </c>
      <c r="BU14" s="14">
        <f>IF(OR(I14="-",I14=""),0,_xlfn.NUMBERVALUE(MID(I14,1,1)))</f>
        <v>4</v>
      </c>
      <c r="BV14" s="18"/>
      <c r="BW14" s="31">
        <f>IF(OR(D14="-",D14=""),0,_xlfn.NUMBERVALUE(MID(D14,3,1)))</f>
        <v>3</v>
      </c>
      <c r="BX14" s="27"/>
      <c r="BY14" s="9">
        <f>IF(OR(F14="-",F14=""),0,_xlfn.NUMBERVALUE(MID(F14,3,1)))</f>
        <v>1</v>
      </c>
      <c r="BZ14" s="9">
        <f>IF(OR(G14="-",G14=""),0,_xlfn.NUMBERVALUE(MID(G14,3,1)))</f>
        <v>2</v>
      </c>
      <c r="CA14" s="9">
        <f>IF(OR(H14="-",H14=""),0,_xlfn.NUMBERVALUE(MID(H14,3,1)))</f>
        <v>0</v>
      </c>
      <c r="CB14" s="10">
        <f>IF(OR(I14="-",I14=""),0,_xlfn.NUMBERVALUE(MID(I14,3,1)))</f>
        <v>0</v>
      </c>
      <c r="CD14" s="4" t="s">
        <v>86</v>
      </c>
      <c r="CE14" s="5" t="str">
        <f t="shared" ref="CE14:CJ14" si="59">D12</f>
        <v>Pays de Galles</v>
      </c>
      <c r="CF14" s="6" t="str">
        <f t="shared" si="59"/>
        <v>Israël</v>
      </c>
      <c r="CG14" s="6" t="str">
        <f t="shared" si="59"/>
        <v>Belgique</v>
      </c>
      <c r="CH14" s="6" t="str">
        <f t="shared" si="59"/>
        <v>Chypre</v>
      </c>
      <c r="CI14" s="6" t="str">
        <f t="shared" si="59"/>
        <v>Bosnie</v>
      </c>
      <c r="CJ14" s="7" t="str">
        <f t="shared" si="59"/>
        <v>Andorre</v>
      </c>
      <c r="CL14" s="11" t="str">
        <f t="shared" si="46"/>
        <v>Israël</v>
      </c>
      <c r="CM14" s="9">
        <f t="shared" ref="CM14" si="60">-CN13</f>
        <v>-3</v>
      </c>
      <c r="CN14" s="27"/>
      <c r="CO14" s="37">
        <f t="shared" ref="CO14" si="61">X14+AD15-(W15+AE14)</f>
        <v>-6</v>
      </c>
      <c r="CP14" s="37">
        <f t="shared" ref="CP14" si="62">Y14+AD16-(W16+AF14)</f>
        <v>0</v>
      </c>
      <c r="CQ14" s="37">
        <f t="shared" ref="CQ14" si="63">Z14+AD17-(W17+AG14)</f>
        <v>0</v>
      </c>
      <c r="CR14" s="41">
        <f t="shared" ref="CR14" si="64">AA14+AD18-(W18+AH14)</f>
        <v>6</v>
      </c>
      <c r="CT14" s="8" t="str">
        <f t="shared" si="52"/>
        <v>Israël</v>
      </c>
      <c r="CU14" s="51">
        <f>$DK14+0.01*CM14+0.0001*(BP14+BX13)+0.000001*BX13</f>
        <v>12.97</v>
      </c>
      <c r="CV14" s="47"/>
      <c r="CW14" s="51">
        <f>$DK14+0.01*CO14+0.0001*(BR14+BX15)+0.000001*BX15</f>
        <v>12.940100999999999</v>
      </c>
      <c r="CX14" s="51">
        <f>$DK14+0.01*CP14+0.0001*(BS14+BX16)+0.000001*BX16</f>
        <v>13.000302</v>
      </c>
      <c r="CY14" s="51">
        <f>$DK14+0.01*CQ14+0.0001*(BT14+BX17)+0.000001*BX17</f>
        <v>13.000401</v>
      </c>
      <c r="CZ14" s="52">
        <f>$DK14+0.01*CR14+0.0001*(BU14+BX18)+0.000001*BX18</f>
        <v>13.060804000000001</v>
      </c>
      <c r="DB14" s="61" t="str">
        <f t="shared" ref="DB14:DB17" si="65">CT14</f>
        <v>Israël</v>
      </c>
      <c r="DC14" s="3" t="str">
        <f>IF(CZ14&gt;=CV18,CT14,CT18)</f>
        <v>Israël</v>
      </c>
      <c r="DD14" s="3" t="str">
        <f>IF(CY14&gt;=CV17,CT14,CT17)</f>
        <v>Bosnie</v>
      </c>
      <c r="DE14" s="3" t="str">
        <f>IF(CX14&gt;=CV16,CT14,CT16)</f>
        <v>Israël</v>
      </c>
      <c r="DF14" s="3" t="str">
        <f>IF(CW14&gt;=CV15,CT14,CT15)</f>
        <v>Belgique</v>
      </c>
      <c r="DJ14" s="63" t="str">
        <f t="shared" si="53"/>
        <v>Israël</v>
      </c>
      <c r="DK14" s="66">
        <f t="shared" ref="DK14" si="66">AL15</f>
        <v>13</v>
      </c>
      <c r="DL14" s="73">
        <f>COUNTIF(DC13:DG17,C14)</f>
        <v>2</v>
      </c>
      <c r="DM14" s="11" t="str">
        <f t="shared" si="54"/>
        <v>Israël</v>
      </c>
      <c r="DO14" s="11">
        <v>2</v>
      </c>
      <c r="DP14" s="69" t="str">
        <f>VLOOKUP(4,DL13:DM18,2,FALSE)</f>
        <v>Pays de Galles</v>
      </c>
      <c r="DQ14" s="11">
        <v>2</v>
      </c>
      <c r="DR14" s="11">
        <f t="shared" ref="DR14" si="67">VLOOKUP(DP14,U13:AB18,8,FALSE)</f>
        <v>1</v>
      </c>
      <c r="DT14" s="8" t="str">
        <f>DP50</f>
        <v>Suède</v>
      </c>
      <c r="DU14" s="39">
        <f>HLOOKUP(DP50,AK49:AP50,2,FALSE)-VLOOKUP(DT14,U48:AA53,VLOOKUP(DP53,DP48:DR53,3,FALSE)+1,FALSE)-HLOOKUP(DT14,AC47:AH53,VLOOKUP(DP53,DP48:DR53,3,FALSE)+1,FALSE)</f>
        <v>12</v>
      </c>
      <c r="DV14" s="9">
        <f>HLOOKUP(DP50,BH50:BM51,2,FALSE)-VLOOKUP(DT14,AR48:AX53,VLOOKUP(DP53,DP48:DR53,3,FALSE)+1,FALSE)-HLOOKUP(DT14,AZ47:BE53,VLOOKUP(DP53,DP48:DR53,3,FALSE)+1,FALSE)</f>
        <v>2</v>
      </c>
      <c r="DW14" s="9">
        <f>HLOOKUP(DP50,CE49:CJ52,4,FALSE)-VLOOKUP(DT14,BO48:BU53,VLOOKUP(DP53,DP48:DR53,3,FALSE)+1,FALSE)-HLOOKUP(DT14,BW47:CB53,VLOOKUP(DP53,DP48:DR53,3,FALSE)+1,FALSE)</f>
        <v>11</v>
      </c>
      <c r="DX14" s="9">
        <f>HLOOKUP(DP50,CE49:CJ51,3,FALSE)-HLOOKUP(DT14,BW47:CB53,VLOOKUP(DP53,DP48:DR53,3,FALSE)+1,FALSE)</f>
        <v>4</v>
      </c>
      <c r="DY14" s="90">
        <f t="shared" si="18"/>
        <v>9</v>
      </c>
      <c r="DZ14" s="8">
        <f t="shared" si="19"/>
        <v>12.021103999999999</v>
      </c>
      <c r="EA14" s="8" t="str">
        <f t="shared" si="20"/>
        <v>Suède</v>
      </c>
    </row>
    <row r="15" spans="2:131" ht="15.75" customHeight="1" thickBot="1" x14ac:dyDescent="0.3">
      <c r="B15" s="560"/>
      <c r="C15" s="294" t="s">
        <v>36</v>
      </c>
      <c r="D15" s="159" t="s">
        <v>13</v>
      </c>
      <c r="E15" s="160" t="s">
        <v>25</v>
      </c>
      <c r="F15" s="165"/>
      <c r="G15" s="160" t="s">
        <v>60</v>
      </c>
      <c r="H15" s="160" t="s">
        <v>25</v>
      </c>
      <c r="I15" s="161" t="s">
        <v>11</v>
      </c>
      <c r="K15" s="549"/>
      <c r="L15" s="275" t="s">
        <v>69</v>
      </c>
      <c r="M15" s="198" t="s">
        <v>31</v>
      </c>
      <c r="N15" s="199" t="s">
        <v>24</v>
      </c>
      <c r="O15" s="165"/>
      <c r="P15" s="199" t="s">
        <v>25</v>
      </c>
      <c r="Q15" s="199" t="s">
        <v>9</v>
      </c>
      <c r="R15" s="200" t="s">
        <v>9</v>
      </c>
      <c r="U15" s="11" t="str">
        <f t="shared" si="33"/>
        <v>Belgique</v>
      </c>
      <c r="V15" s="12">
        <f>IF(OR(D15="-",D15=""),0,IF(MID(D15,1,1)&gt;MID(D15,3,1),3,        IF(MID(D15,1,1)=MID(D15,3,1),1,         IF(MID(D15,1,1)&lt;MID(D15,3,1),0)        )))</f>
        <v>1</v>
      </c>
      <c r="W15" s="13">
        <f>IF(OR(E15="-",E15=""),0,IF(MID(E15,1,1)&gt;MID(E15,3,1),3,        IF(MID(E15,1,1)=MID(E15,3,1),1,         IF(MID(E15,1,1)&lt;MID(E15,3,1),0)        )))</f>
        <v>3</v>
      </c>
      <c r="X15" s="27"/>
      <c r="Y15" s="13">
        <f>IF(OR(G15="-",G15=""),0,IF(MID(G15,1,1)&gt;MID(G15,3,1),3,        IF(MID(G15,1,1)=MID(G15,3,1),1,         IF(MID(G15,1,1)&lt;MID(G15,3,1),0)        )))</f>
        <v>3</v>
      </c>
      <c r="Z15" s="13">
        <f>IF(OR(H15="-",H15=""),0,IF(MID(H15,1,1)&gt;MID(H15,3,1),3,        IF(MID(H15,1,1)=MID(H15,3,1),1,         IF(MID(H15,1,1)&lt;MID(H15,3,1),0)        )))</f>
        <v>3</v>
      </c>
      <c r="AA15" s="14">
        <f>IF(OR(I15="-",I15=""),0,IF(MID(I15,1,1)&gt;MID(I15,3,1),3,        IF(MID(I15,1,1)=MID(I15,3,1),1,         IF(MID(I15,1,1)&lt;MID(I15,3,1),0)        )))</f>
        <v>3</v>
      </c>
      <c r="AB15" s="3">
        <v>3</v>
      </c>
      <c r="AC15" s="22">
        <f>IF(OR(D15="-",D15=""),0,IF(MID(D15,3,1)&gt;MID(D15,1,1),3,        IF(MID(D15,3,1)=MID(D15,1,1),1,         IF(MID(D15,3,1)&lt;MID(D15,1,1),0)        )))</f>
        <v>1</v>
      </c>
      <c r="AD15" s="13">
        <f>IF(OR(E15="-",E15=""),0,IF(MID(E15,3,1)&gt;MID(E15,1,1),3,        IF(MID(E15,3,1)=MID(E15,1,1),1,         IF(MID(E15,3,1)&lt;MID(E15,1,1),0)        )))</f>
        <v>0</v>
      </c>
      <c r="AE15" s="27"/>
      <c r="AF15" s="13">
        <f>IF(OR(G15="-",G15=""),0,IF(MID(G15,3,1)&gt;MID(G15,1,1),3,        IF(MID(G15,3,1)=MID(G15,1,1),1,         IF(MID(G15,3,1)&lt;MID(G15,1,1),0)        )))</f>
        <v>0</v>
      </c>
      <c r="AG15" s="13">
        <f>IF(OR(H15="-",H15=""),0,IF(MID(H15,3,1)&gt;MID(H15,1,1),3,        IF(MID(H15,3,1)=MID(H15,1,1),1,         IF(MID(H15,3,1)&lt;MID(H15,1,1),0)        )))</f>
        <v>0</v>
      </c>
      <c r="AH15" s="14">
        <f>IF(OR(I15="-",I15=""),0,IF(MID(I15,3,1)&gt;MID(I15,1,1),3,        IF(MID(I15,3,1)=MID(I15,1,1),1,         IF(MID(I15,3,1)&lt;MID(I15,1,1),0)        )))</f>
        <v>0</v>
      </c>
      <c r="AI15" s="36"/>
      <c r="AJ15" s="77"/>
      <c r="AK15" s="23">
        <f t="shared" ref="AK15" si="68">SUM(W13:AA13,AC14:AC18)</f>
        <v>21</v>
      </c>
      <c r="AL15" s="17">
        <f t="shared" ref="AL15" si="69">SUM(V14,X14:AA14,AD13,AD15:AD18)</f>
        <v>13</v>
      </c>
      <c r="AM15" s="17">
        <f t="shared" ref="AM15" si="70">SUM(V15:W15,Y15:AA15,AE13:AE14,AE16:AE18)</f>
        <v>23</v>
      </c>
      <c r="AN15" s="17">
        <f t="shared" ref="AN15" si="71">SUM(V16:X16,Z16:AA16,AF13:AF15,AF17:AF18)</f>
        <v>12</v>
      </c>
      <c r="AO15" s="17">
        <f t="shared" ref="AO15" si="72">SUM(V17:Y17,AA17,AG13:AG16,AG18)</f>
        <v>17</v>
      </c>
      <c r="AP15" s="24">
        <f t="shared" ref="AP15" si="73">SUM(V18:Z18,AH13:AH17)</f>
        <v>0</v>
      </c>
      <c r="AQ15" s="18"/>
      <c r="AR15" s="11" t="str">
        <f t="shared" si="34"/>
        <v>Belgique</v>
      </c>
      <c r="AS15" s="12">
        <f t="shared" si="57"/>
        <v>0</v>
      </c>
      <c r="AT15" s="12">
        <f t="shared" ref="AT15:AT18" si="74">BQ15-BX15</f>
        <v>2</v>
      </c>
      <c r="AU15" s="80"/>
      <c r="AV15" s="12">
        <f t="shared" si="37"/>
        <v>5</v>
      </c>
      <c r="AW15" s="12">
        <f t="shared" si="38"/>
        <v>2</v>
      </c>
      <c r="AX15" s="69">
        <f t="shared" si="39"/>
        <v>6</v>
      </c>
      <c r="AY15" s="45"/>
      <c r="AZ15" s="22">
        <f t="shared" si="58"/>
        <v>0</v>
      </c>
      <c r="BA15" s="13">
        <f t="shared" ref="BA15:BA18" si="75">BX15-BQ15</f>
        <v>-2</v>
      </c>
      <c r="BB15" s="27"/>
      <c r="BC15" s="13">
        <f t="shared" si="42"/>
        <v>-5</v>
      </c>
      <c r="BD15" s="13">
        <f t="shared" si="43"/>
        <v>-2</v>
      </c>
      <c r="BE15" s="14">
        <f t="shared" si="44"/>
        <v>-6</v>
      </c>
      <c r="BF15" s="77"/>
      <c r="BG15" s="4" t="s">
        <v>86</v>
      </c>
      <c r="BH15" s="5" t="str">
        <f t="shared" ref="BH15:BM15" si="76">D12</f>
        <v>Pays de Galles</v>
      </c>
      <c r="BI15" s="5" t="str">
        <f t="shared" si="76"/>
        <v>Israël</v>
      </c>
      <c r="BJ15" s="5" t="str">
        <f t="shared" si="76"/>
        <v>Belgique</v>
      </c>
      <c r="BK15" s="5" t="str">
        <f t="shared" si="76"/>
        <v>Chypre</v>
      </c>
      <c r="BL15" s="5" t="str">
        <f t="shared" si="76"/>
        <v>Bosnie</v>
      </c>
      <c r="BM15" s="76" t="str">
        <f t="shared" si="76"/>
        <v>Andorre</v>
      </c>
      <c r="BO15" s="11" t="str">
        <f t="shared" si="45"/>
        <v>Belgique</v>
      </c>
      <c r="BP15" s="12">
        <f>IF(OR(D15="-",D15=""),0,_xlfn.NUMBERVALUE(MID(D15,1,1)))</f>
        <v>0</v>
      </c>
      <c r="BQ15" s="13">
        <f>IF(OR(E15="-",E15=""),0,_xlfn.NUMBERVALUE(MID(E15,1,1)))</f>
        <v>3</v>
      </c>
      <c r="BR15" s="27"/>
      <c r="BS15" s="13">
        <f>IF(OR(G15="-",G15=""),0,_xlfn.NUMBERVALUE(MID(G15,1,1)))</f>
        <v>5</v>
      </c>
      <c r="BT15" s="13">
        <f>IF(OR(H15="-",H15=""),0,_xlfn.NUMBERVALUE(MID(H15,1,1)))</f>
        <v>3</v>
      </c>
      <c r="BU15" s="14">
        <f>IF(OR(I15="-",I15=""),0,_xlfn.NUMBERVALUE(MID(I15,1,1)))</f>
        <v>6</v>
      </c>
      <c r="BV15" s="18"/>
      <c r="BW15" s="31">
        <f>IF(OR(D15="-",D15=""),0,_xlfn.NUMBERVALUE(MID(D15,3,1)))</f>
        <v>0</v>
      </c>
      <c r="BX15" s="9">
        <f>IF(OR(E15="-",E15=""),0,_xlfn.NUMBERVALUE(MID(E15,3,1)))</f>
        <v>1</v>
      </c>
      <c r="BY15" s="27"/>
      <c r="BZ15" s="9">
        <f>IF(OR(G15="-",G15=""),0,_xlfn.NUMBERVALUE(MID(G15,3,1)))</f>
        <v>0</v>
      </c>
      <c r="CA15" s="9">
        <f>IF(OR(H15="-",H15=""),0,_xlfn.NUMBERVALUE(MID(H15,3,1)))</f>
        <v>1</v>
      </c>
      <c r="CB15" s="10">
        <f>IF(OR(I15="-",I15=""),0,_xlfn.NUMBERVALUE(MID(I15,3,1)))</f>
        <v>0</v>
      </c>
      <c r="CD15" s="8" t="s">
        <v>91</v>
      </c>
      <c r="CE15" s="39">
        <f t="shared" ref="CE15" si="77">SUM(BQ13:BU13)</f>
        <v>5</v>
      </c>
      <c r="CF15" s="9">
        <f>SUM(BP14,BR14:BU14)</f>
        <v>8</v>
      </c>
      <c r="CG15" s="9">
        <f>SUM(BP15:BQ15,BS15:BU15)</f>
        <v>17</v>
      </c>
      <c r="CH15" s="9">
        <f>SUM(BP16:BR16,BT16:BU16)</f>
        <v>8</v>
      </c>
      <c r="CI15" s="9">
        <f>SUM(BP17:BS17,BU17)</f>
        <v>10</v>
      </c>
      <c r="CJ15" s="10">
        <f t="shared" ref="CJ15" si="78">SUM(BP18:BT18)</f>
        <v>4</v>
      </c>
      <c r="CL15" s="11" t="str">
        <f t="shared" si="46"/>
        <v>Belgique</v>
      </c>
      <c r="CM15" s="12">
        <f t="shared" ref="CM15" si="79">-CO13</f>
        <v>-3</v>
      </c>
      <c r="CN15" s="13">
        <f t="shared" ref="CN15" si="80">-CO14</f>
        <v>6</v>
      </c>
      <c r="CO15" s="27"/>
      <c r="CP15" s="37">
        <f t="shared" ref="CP15" si="81">Y15+AE16-(X16+AF15)</f>
        <v>6</v>
      </c>
      <c r="CQ15" s="37">
        <f t="shared" ref="CQ15" si="82">Z15+AE17-(X17+AG15)</f>
        <v>3</v>
      </c>
      <c r="CR15" s="41">
        <f t="shared" ref="CR15" si="83">AA15+AE18-(X18+AH15)</f>
        <v>6</v>
      </c>
      <c r="CT15" s="8" t="str">
        <f t="shared" si="52"/>
        <v>Belgique</v>
      </c>
      <c r="CU15" s="51">
        <f>$DK15+0.01*CM15+0.0001*(BP15+BY13)+0.000001*BY13</f>
        <v>22.97</v>
      </c>
      <c r="CV15" s="51">
        <f>$DK15+0.01*CN15+0.0001*(BQ15+BY14)+0.000001*BY14</f>
        <v>23.060400999999999</v>
      </c>
      <c r="CW15" s="47"/>
      <c r="CX15" s="51">
        <f>$DK15+0.01*CP15+0.0001*(BS15+BY16)+0.000001*BY16</f>
        <v>23.060600999999998</v>
      </c>
      <c r="CY15" s="51">
        <f>$DK15+0.01*CQ15+0.0001*(BT15+BY17)+0.000001*BY17</f>
        <v>23.030401000000001</v>
      </c>
      <c r="CZ15" s="52">
        <f>$DK15+0.01*CR15+0.0001*(BU15+BY18)+0.000001*BY18</f>
        <v>23.061004000000001</v>
      </c>
      <c r="DB15" s="61" t="str">
        <f t="shared" si="65"/>
        <v>Belgique</v>
      </c>
      <c r="DC15" s="3" t="str">
        <f>IF(CZ15&gt;=CW18,CT15,CT18)</f>
        <v>Belgique</v>
      </c>
      <c r="DD15" s="3" t="str">
        <f>IF(CY15&gt;=CW17,CT15,CT17)</f>
        <v>Belgique</v>
      </c>
      <c r="DE15" s="3" t="str">
        <f>IF(CX15&gt;=CW16,CT15,CT16)</f>
        <v>Belgique</v>
      </c>
      <c r="DJ15" s="63" t="str">
        <f t="shared" si="53"/>
        <v>Belgique</v>
      </c>
      <c r="DK15" s="66">
        <f t="shared" ref="DK15" si="84">AM15</f>
        <v>23</v>
      </c>
      <c r="DL15" s="73">
        <f>COUNTIF(DC13:DG17,C15)</f>
        <v>5</v>
      </c>
      <c r="DM15" s="11" t="str">
        <f t="shared" si="54"/>
        <v>Belgique</v>
      </c>
      <c r="DO15" s="11">
        <v>3</v>
      </c>
      <c r="DP15" s="69" t="str">
        <f>VLOOKUP(3,DL13:DM18,2,FALSE)</f>
        <v>Bosnie</v>
      </c>
      <c r="DQ15" s="11">
        <v>3</v>
      </c>
      <c r="DR15" s="11">
        <f t="shared" ref="DR15" si="85">VLOOKUP(DP15,U13:AB18,8,FALSE)</f>
        <v>5</v>
      </c>
      <c r="DT15" s="8" t="str">
        <f>DP57</f>
        <v>Norvège</v>
      </c>
      <c r="DU15" s="39">
        <f>HLOOKUP(DP57,AK56:AP57,2,FALSE)-VLOOKUP(DT15,U55:AA60,VLOOKUP(DP60,DP55:DR60,3,FALSE)+1,FALSE)-HLOOKUP(DT15,AC54:AH60,VLOOKUP(DP60,DP55:DR60,3,FALSE)+1,FALSE)</f>
        <v>13</v>
      </c>
      <c r="DV15" s="9">
        <f>HLOOKUP(DP57,BH57:BM58,2,FALSE)-VLOOKUP(DT15,AR55:AX60,VLOOKUP(DP60,DP55:DR60,3,FALSE)+1,FALSE)-HLOOKUP(DT15,AZ54:BE60,VLOOKUP(DP60,DP55:DR60,3,FALSE)+1,FALSE)</f>
        <v>-2</v>
      </c>
      <c r="DW15" s="9">
        <f>HLOOKUP(DP57,CE56:CJ59,4,FALSE)-VLOOKUP(DT15,BO55:BU60,VLOOKUP(DP60,DP55:DR60,3,FALSE)+1,FALSE)-HLOOKUP(DT15,BW54:CB60,VLOOKUP(DP60,DP55:DR60,3,FALSE)+1,FALSE)</f>
        <v>8</v>
      </c>
      <c r="DX15" s="9">
        <f>HLOOKUP(DP57,CE56:CJ58,3,FALSE)-HLOOKUP(DT15,BW54:CB60,VLOOKUP(DP60,DP55:DR60,3,FALSE)+1,FALSE)</f>
        <v>4</v>
      </c>
      <c r="DY15" s="90">
        <f t="shared" si="18"/>
        <v>10</v>
      </c>
      <c r="DZ15" s="8">
        <f t="shared" si="19"/>
        <v>12.980804000000001</v>
      </c>
      <c r="EA15" s="8" t="str">
        <f t="shared" si="20"/>
        <v>Norvège</v>
      </c>
    </row>
    <row r="16" spans="2:131" ht="15.75" customHeight="1" thickBot="1" x14ac:dyDescent="0.3">
      <c r="B16" s="560"/>
      <c r="C16" s="294" t="s">
        <v>37</v>
      </c>
      <c r="D16" s="159" t="s">
        <v>29</v>
      </c>
      <c r="E16" s="160" t="s">
        <v>22</v>
      </c>
      <c r="F16" s="160" t="s">
        <v>29</v>
      </c>
      <c r="G16" s="165"/>
      <c r="H16" s="160" t="s">
        <v>158</v>
      </c>
      <c r="I16" s="161" t="s">
        <v>60</v>
      </c>
      <c r="K16" s="549"/>
      <c r="L16" s="275" t="s">
        <v>70</v>
      </c>
      <c r="M16" s="198" t="s">
        <v>158</v>
      </c>
      <c r="N16" s="199" t="s">
        <v>12</v>
      </c>
      <c r="O16" s="199" t="s">
        <v>24</v>
      </c>
      <c r="P16" s="165"/>
      <c r="Q16" s="199" t="s">
        <v>9</v>
      </c>
      <c r="R16" s="200" t="s">
        <v>9</v>
      </c>
      <c r="U16" s="11" t="str">
        <f t="shared" si="33"/>
        <v>Chypre</v>
      </c>
      <c r="V16" s="12">
        <f>IF(OR(D16="-",D16=""),0,IF(MID(D16,1,1)&gt;MID(D16,3,1),3,        IF(MID(D16,1,1)=MID(D16,3,1),1,         IF(MID(D16,1,1)&lt;MID(D16,3,1),0)        )))</f>
        <v>0</v>
      </c>
      <c r="W16" s="13">
        <f>IF(OR(E16="-",E16=""),0,IF(MID(E16,1,1)&gt;MID(E16,3,1),3,        IF(MID(E16,1,1)=MID(E16,3,1),1,         IF(MID(E16,1,1)&lt;MID(E16,3,1),0)        )))</f>
        <v>0</v>
      </c>
      <c r="X16" s="13">
        <f>IF(OR(F16="-",F16=""),0,IF(MID(F16,1,1)&gt;MID(F16,3,1),3,        IF(MID(F16,1,1)=MID(F16,3,1),1,         IF(MID(F16,1,1)&lt;MID(F16,3,1),0)        )))</f>
        <v>0</v>
      </c>
      <c r="Y16" s="27"/>
      <c r="Z16" s="13">
        <f>IF(OR(H16="-",H16=""),0,IF(MID(H16,1,1)&gt;MID(H16,3,1),3,        IF(MID(H16,1,1)=MID(H16,3,1),1,         IF(MID(H16,1,1)&lt;MID(H16,3,1),0)        )))</f>
        <v>0</v>
      </c>
      <c r="AA16" s="14">
        <f>IF(OR(I16="-",I16=""),0,IF(MID(I16,1,1)&gt;MID(I16,3,1),3,        IF(MID(I16,1,1)=MID(I16,3,1),1,         IF(MID(I16,1,1)&lt;MID(I16,3,1),0)        )))</f>
        <v>3</v>
      </c>
      <c r="AB16" s="3">
        <v>4</v>
      </c>
      <c r="AC16" s="22">
        <f>IF(OR(D16="-",D16=""),0,IF(MID(D16,3,1)&gt;MID(D16,1,1),3,        IF(MID(D16,3,1)=MID(D16,1,1),1,         IF(MID(D16,3,1)&lt;MID(D16,1,1),0)        )))</f>
        <v>3</v>
      </c>
      <c r="AD16" s="13">
        <f>IF(OR(E16="-",E16=""),0,IF(MID(E16,3,1)&gt;MID(E16,1,1),3,        IF(MID(E16,3,1)=MID(E16,1,1),1,         IF(MID(E16,3,1)&lt;MID(E16,1,1),0)        )))</f>
        <v>3</v>
      </c>
      <c r="AE16" s="13">
        <f>IF(OR(F16="-",F16=""),0,IF(MID(F16,3,1)&gt;MID(F16,1,1),3,        IF(MID(F16,3,1)=MID(F16,1,1),1,         IF(MID(F16,3,1)&lt;MID(F16,1,1),0)        )))</f>
        <v>3</v>
      </c>
      <c r="AF16" s="27"/>
      <c r="AG16" s="13">
        <f>IF(OR(H16="-",H16=""),0,IF(MID(H16,3,1)&gt;MID(H16,1,1),3,        IF(MID(H16,3,1)=MID(H16,1,1),1,         IF(MID(H16,3,1)&lt;MID(H16,1,1),0)        )))</f>
        <v>3</v>
      </c>
      <c r="AH16" s="14">
        <f>IF(OR(I16="-",I16=""),0,IF(MID(I16,3,1)&gt;MID(I16,1,1),3,        IF(MID(I16,3,1)=MID(I16,1,1),1,         IF(MID(I16,3,1)&lt;MID(I16,1,1),0)        )))</f>
        <v>0</v>
      </c>
      <c r="AI16" s="77"/>
      <c r="AJ16" s="77"/>
      <c r="AK16" s="45"/>
      <c r="AL16" s="45"/>
      <c r="AM16" s="45"/>
      <c r="AN16" s="45"/>
      <c r="AO16" s="45"/>
      <c r="AP16" s="45"/>
      <c r="AQ16" s="18"/>
      <c r="AR16" s="11" t="str">
        <f t="shared" si="34"/>
        <v>Chypre</v>
      </c>
      <c r="AS16" s="12">
        <f t="shared" si="57"/>
        <v>-1</v>
      </c>
      <c r="AT16" s="12">
        <f t="shared" si="74"/>
        <v>-1</v>
      </c>
      <c r="AU16" s="12">
        <f t="shared" ref="AU16:AU18" si="86">BR16-BY16</f>
        <v>-1</v>
      </c>
      <c r="AV16" s="80"/>
      <c r="AW16" s="12">
        <f t="shared" si="38"/>
        <v>-1</v>
      </c>
      <c r="AX16" s="69">
        <f t="shared" si="39"/>
        <v>5</v>
      </c>
      <c r="AY16" s="45"/>
      <c r="AZ16" s="22">
        <f t="shared" si="58"/>
        <v>1</v>
      </c>
      <c r="BA16" s="13">
        <f t="shared" si="75"/>
        <v>1</v>
      </c>
      <c r="BB16" s="13">
        <f t="shared" ref="BB16:BB18" si="87">BY16-BR16</f>
        <v>1</v>
      </c>
      <c r="BC16" s="27"/>
      <c r="BD16" s="13">
        <f t="shared" si="43"/>
        <v>1</v>
      </c>
      <c r="BE16" s="14">
        <f t="shared" si="44"/>
        <v>-5</v>
      </c>
      <c r="BF16" s="77"/>
      <c r="BG16" s="19" t="s">
        <v>91</v>
      </c>
      <c r="BH16" s="87">
        <f t="shared" ref="BH16" si="88">SUM(AT13:AX13,AZ14:AZ18)</f>
        <v>7</v>
      </c>
      <c r="BI16" s="32">
        <f t="shared" ref="BI16" si="89">SUM(AS14,AU14:AX14,BA13,BA15:BA18)</f>
        <v>2</v>
      </c>
      <c r="BJ16" s="32">
        <f t="shared" ref="BJ16" si="90">SUM(AS15:AT15,AV15:AX15,BB13:BB14,BB16:BB18)</f>
        <v>19</v>
      </c>
      <c r="BK16" s="32">
        <f t="shared" ref="BK16" si="91">SUM(AS16:AU16,AW16:AX16,BC13:BC15,BC17:BC18)</f>
        <v>-1</v>
      </c>
      <c r="BL16" s="32">
        <f t="shared" ref="BL16" si="92">SUM(AS17:AV17,AX17,BD13:BD16,BD18)</f>
        <v>5</v>
      </c>
      <c r="BM16" s="33">
        <f t="shared" ref="BM16" si="93">SUM(AS18:AW18,BE13:BE17)</f>
        <v>-32</v>
      </c>
      <c r="BO16" s="11" t="str">
        <f t="shared" si="45"/>
        <v>Chypre</v>
      </c>
      <c r="BP16" s="12">
        <f>IF(OR(D16="-",D16=""),0,_xlfn.NUMBERVALUE(MID(D16,1,1)))</f>
        <v>0</v>
      </c>
      <c r="BQ16" s="13">
        <f>IF(OR(E16="-",E16=""),0,_xlfn.NUMBERVALUE(MID(E16,1,1)))</f>
        <v>1</v>
      </c>
      <c r="BR16" s="13">
        <f>IF(OR(F16="-",F16=""),0,_xlfn.NUMBERVALUE(MID(F16,1,1)))</f>
        <v>0</v>
      </c>
      <c r="BS16" s="27"/>
      <c r="BT16" s="13">
        <f>IF(OR(H16="-",H16=""),0,_xlfn.NUMBERVALUE(MID(H16,1,1)))</f>
        <v>2</v>
      </c>
      <c r="BU16" s="14">
        <f>IF(OR(I16="-",I16=""),0,_xlfn.NUMBERVALUE(MID(I16,1,1)))</f>
        <v>5</v>
      </c>
      <c r="BV16" s="18"/>
      <c r="BW16" s="31">
        <f>IF(OR(D16="-",D16=""),0,_xlfn.NUMBERVALUE(MID(D16,3,1)))</f>
        <v>1</v>
      </c>
      <c r="BX16" s="9">
        <f>IF(OR(E16="-",E16=""),0,_xlfn.NUMBERVALUE(MID(E16,3,1)))</f>
        <v>2</v>
      </c>
      <c r="BY16" s="9">
        <f>IF(OR(F16="-",F16=""),0,_xlfn.NUMBERVALUE(MID(F16,3,1)))</f>
        <v>1</v>
      </c>
      <c r="BZ16" s="27"/>
      <c r="CA16" s="9">
        <f>IF(OR(H16="-",H16=""),0,_xlfn.NUMBERVALUE(MID(H16,3,1)))</f>
        <v>3</v>
      </c>
      <c r="CB16" s="10">
        <f>IF(OR(I16="-",I16=""),0,_xlfn.NUMBERVALUE(MID(I16,3,1)))</f>
        <v>0</v>
      </c>
      <c r="CD16" s="11" t="s">
        <v>92</v>
      </c>
      <c r="CE16" s="12">
        <f t="shared" ref="CE16" si="94">SUM(BW14:BW18)</f>
        <v>6</v>
      </c>
      <c r="CF16" s="13">
        <f>SUM(BX13,BX15:BX18)</f>
        <v>8</v>
      </c>
      <c r="CG16" s="13">
        <f>SUM(BY13:BY14,BY16:BY18)</f>
        <v>7</v>
      </c>
      <c r="CH16" s="13">
        <f>SUM(BZ13:BZ15,BZ17:BZ18)</f>
        <v>8</v>
      </c>
      <c r="CI16" s="13">
        <f>SUM(CA13:CA16,CA18)</f>
        <v>7</v>
      </c>
      <c r="CJ16" s="14">
        <f t="shared" ref="CJ16" si="95">SUM(CB13:CB17)</f>
        <v>0</v>
      </c>
      <c r="CL16" s="11" t="str">
        <f t="shared" si="46"/>
        <v>Chypre</v>
      </c>
      <c r="CM16" s="12">
        <f t="shared" ref="CM16" si="96">-CP13</f>
        <v>-6</v>
      </c>
      <c r="CN16" s="13">
        <f t="shared" ref="CN16" si="97">-CP14</f>
        <v>0</v>
      </c>
      <c r="CO16" s="37">
        <f t="shared" ref="CO16" si="98">-CP15</f>
        <v>-6</v>
      </c>
      <c r="CP16" s="27"/>
      <c r="CQ16" s="37">
        <f t="shared" ref="CQ16" si="99">Z16+AF17-(Y17+AG16)</f>
        <v>0</v>
      </c>
      <c r="CR16" s="41">
        <f t="shared" ref="CR16" si="100">AA16+AF18-(Y18+AH16)</f>
        <v>6</v>
      </c>
      <c r="CT16" s="8" t="str">
        <f t="shared" si="52"/>
        <v>Chypre</v>
      </c>
      <c r="CU16" s="51">
        <f>$DK16+0.01*CM16+0.0001*(BP16+BZ13)+0.000001*BZ13</f>
        <v>11.940100999999999</v>
      </c>
      <c r="CV16" s="51">
        <f>$DK16+0.01*CN16+0.0001*(BQ16+BZ14)+0.000001*BZ14</f>
        <v>12.000302</v>
      </c>
      <c r="CW16" s="51">
        <f>$DK16+0.01*CO16+0.0001*(BR16+BZ15)+0.000001*BZ15</f>
        <v>11.94</v>
      </c>
      <c r="CX16" s="47"/>
      <c r="CY16" s="51">
        <f>$DK16+0.01*CQ16+0.0001*(BT16+BZ17)+0.000001*BZ17</f>
        <v>12.000402000000001</v>
      </c>
      <c r="CZ16" s="52">
        <f>$DK16+0.01*CR16+0.0001*(BU16+BZ18)+0.000001*BZ18</f>
        <v>12.060803</v>
      </c>
      <c r="DB16" s="61" t="str">
        <f t="shared" si="65"/>
        <v>Chypre</v>
      </c>
      <c r="DC16" s="3" t="str">
        <f>IF(CZ16&gt;=CX18,CT16,CT18)</f>
        <v>Chypre</v>
      </c>
      <c r="DD16" s="3" t="str">
        <f>IF(CY16&gt;=CX17,CT16,CT17)</f>
        <v>Bosnie</v>
      </c>
      <c r="DJ16" s="63" t="str">
        <f t="shared" si="53"/>
        <v>Chypre</v>
      </c>
      <c r="DK16" s="66">
        <f t="shared" ref="DK16" si="101">AN15</f>
        <v>12</v>
      </c>
      <c r="DL16" s="73">
        <f>COUNTIF(DC13:DG17,C16)</f>
        <v>1</v>
      </c>
      <c r="DM16" s="11" t="str">
        <f t="shared" si="54"/>
        <v>Chypre</v>
      </c>
      <c r="DO16" s="11">
        <v>4</v>
      </c>
      <c r="DP16" s="69" t="str">
        <f>VLOOKUP(2,DL13:DM18,2,FALSE)</f>
        <v>Israël</v>
      </c>
      <c r="DQ16" s="11">
        <v>4</v>
      </c>
      <c r="DR16" s="11">
        <f t="shared" ref="DR16" si="102">VLOOKUP(DP16,U13:AB18,8,FALSE)</f>
        <v>2</v>
      </c>
      <c r="DT16" s="19" t="str">
        <f>DP64</f>
        <v>Danemark</v>
      </c>
      <c r="DU16" s="87">
        <f>HLOOKUP(DP64,AK63:AP64,2,FALSE)</f>
        <v>14</v>
      </c>
      <c r="DV16" s="32">
        <f>HLOOKUP(DP64,BH64:BM65,2,FALSE)</f>
        <v>3</v>
      </c>
      <c r="DW16" s="32">
        <f>HLOOKUP(DP64,CE63:CJ66,4,FALSE)</f>
        <v>8</v>
      </c>
      <c r="DX16" s="32">
        <f>HLOOKUP(DP64,CE63:CJ65,3,FALSE)</f>
        <v>4</v>
      </c>
      <c r="DY16" s="91">
        <f t="shared" si="18"/>
        <v>5</v>
      </c>
      <c r="DZ16" s="19">
        <f t="shared" si="19"/>
        <v>14.030804</v>
      </c>
      <c r="EA16" s="19" t="str">
        <f t="shared" si="20"/>
        <v>Danemark</v>
      </c>
    </row>
    <row r="17" spans="2:242" ht="15.75" customHeight="1" thickBot="1" x14ac:dyDescent="0.3">
      <c r="B17" s="560"/>
      <c r="C17" s="294" t="s">
        <v>165</v>
      </c>
      <c r="D17" s="159" t="s">
        <v>9</v>
      </c>
      <c r="E17" s="160" t="s">
        <v>25</v>
      </c>
      <c r="F17" s="160" t="s">
        <v>24</v>
      </c>
      <c r="G17" s="160" t="s">
        <v>22</v>
      </c>
      <c r="H17" s="165"/>
      <c r="I17" s="161" t="s">
        <v>10</v>
      </c>
      <c r="K17" s="549"/>
      <c r="L17" s="275" t="s">
        <v>71</v>
      </c>
      <c r="M17" s="198" t="s">
        <v>22</v>
      </c>
      <c r="N17" s="199" t="s">
        <v>22</v>
      </c>
      <c r="O17" s="199" t="s">
        <v>32</v>
      </c>
      <c r="P17" s="199" t="s">
        <v>32</v>
      </c>
      <c r="Q17" s="165"/>
      <c r="R17" s="200" t="s">
        <v>29</v>
      </c>
      <c r="U17" s="11" t="str">
        <f t="shared" si="33"/>
        <v>Bosnie</v>
      </c>
      <c r="V17" s="12">
        <f>IF(OR(D17="-",D17=""),0,IF(MID(D17,1,1)&gt;MID(D17,3,1),3,        IF(MID(D17,1,1)=MID(D17,3,1),1,         IF(MID(D17,1,1)&lt;MID(D17,3,1),0)        )))</f>
        <v>3</v>
      </c>
      <c r="W17" s="13">
        <f>IF(OR(E17="-",E17=""),0,IF(MID(E17,1,1)&gt;MID(E17,3,1),3,        IF(MID(E17,1,1)=MID(E17,3,1),1,         IF(MID(E17,1,1)&lt;MID(E17,3,1),0)        )))</f>
        <v>3</v>
      </c>
      <c r="X17" s="13">
        <f>IF(OR(F17="-",F17=""),0,IF(MID(F17,1,1)&gt;MID(F17,3,1),3,        IF(MID(F17,1,1)=MID(F17,3,1),1,         IF(MID(F17,1,1)&lt;MID(F17,3,1),0)        )))</f>
        <v>1</v>
      </c>
      <c r="Y17" s="13">
        <f>IF(OR(G17="-",G17=""),0,IF(MID(G17,1,1)&gt;MID(G17,3,1),3,        IF(MID(G17,1,1)=MID(G17,3,1),1,         IF(MID(G17,1,1)&lt;MID(G17,3,1),0)        )))</f>
        <v>0</v>
      </c>
      <c r="Z17" s="27"/>
      <c r="AA17" s="14">
        <f>IF(OR(I17="-",I17=""),0,IF(MID(I17,1,1)&gt;MID(I17,3,1),3,        IF(MID(I17,1,1)=MID(I17,3,1),1,         IF(MID(I17,1,1)&lt;MID(I17,3,1),0)        )))</f>
        <v>3</v>
      </c>
      <c r="AB17" s="3">
        <v>5</v>
      </c>
      <c r="AC17" s="22">
        <f>IF(OR(D17="-",D17=""),0,IF(MID(D17,3,1)&gt;MID(D17,1,1),3,        IF(MID(D17,3,1)=MID(D17,1,1),1,         IF(MID(D17,3,1)&lt;MID(D17,1,1),0)        )))</f>
        <v>0</v>
      </c>
      <c r="AD17" s="13">
        <f>IF(OR(E17="-",E17=""),0,IF(MID(E17,3,1)&gt;MID(E17,1,1),3,        IF(MID(E17,3,1)=MID(E17,1,1),1,         IF(MID(E17,3,1)&lt;MID(E17,1,1),0)        )))</f>
        <v>0</v>
      </c>
      <c r="AE17" s="13">
        <f>IF(OR(F17="-",F17=""),0,IF(MID(F17,3,1)&gt;MID(F17,1,1),3,        IF(MID(F17,3,1)=MID(F17,1,1),1,         IF(MID(F17,3,1)&lt;MID(F17,1,1),0)        )))</f>
        <v>1</v>
      </c>
      <c r="AF17" s="13">
        <f>IF(OR(G17="-",G17=""),0,IF(MID(G17,3,1)&gt;MID(G17,1,1),3,        IF(MID(G17,3,1)=MID(G17,1,1),1,         IF(MID(G17,3,1)&lt;MID(G17,1,1),0)        )))</f>
        <v>3</v>
      </c>
      <c r="AG17" s="27"/>
      <c r="AH17" s="14">
        <f>IF(OR(I17="-",I17=""),0,IF(MID(I17,3,1)&gt;MID(I17,1,1),3,        IF(MID(I17,3,1)=MID(I17,1,1),1,         IF(MID(I17,3,1)&lt;MID(I17,1,1),0)        )))</f>
        <v>0</v>
      </c>
      <c r="AI17" s="36"/>
      <c r="AJ17" s="77"/>
      <c r="AR17" s="11" t="str">
        <f t="shared" si="34"/>
        <v>Bosnie</v>
      </c>
      <c r="AS17" s="12">
        <f t="shared" si="57"/>
        <v>2</v>
      </c>
      <c r="AT17" s="12">
        <f t="shared" si="74"/>
        <v>2</v>
      </c>
      <c r="AU17" s="12">
        <f t="shared" si="86"/>
        <v>0</v>
      </c>
      <c r="AV17" s="12">
        <f t="shared" ref="AV17:AV18" si="103">BS17-BZ17</f>
        <v>-1</v>
      </c>
      <c r="AW17" s="80"/>
      <c r="AX17" s="69">
        <f>BU17-CB17</f>
        <v>3</v>
      </c>
      <c r="AY17" s="45"/>
      <c r="AZ17" s="22">
        <f t="shared" si="58"/>
        <v>-2</v>
      </c>
      <c r="BA17" s="13">
        <f t="shared" si="75"/>
        <v>-2</v>
      </c>
      <c r="BB17" s="13">
        <f t="shared" si="87"/>
        <v>0</v>
      </c>
      <c r="BC17" s="13">
        <f t="shared" ref="BC17:BC18" si="104">BZ17-BS17</f>
        <v>1</v>
      </c>
      <c r="BD17" s="27"/>
      <c r="BE17" s="14">
        <f t="shared" si="44"/>
        <v>-3</v>
      </c>
      <c r="BF17" s="77"/>
      <c r="BG17" s="45"/>
      <c r="BH17" s="45"/>
      <c r="BI17" s="45"/>
      <c r="BJ17" s="45"/>
      <c r="BK17" s="45"/>
      <c r="BL17" s="45"/>
      <c r="BM17" s="45"/>
      <c r="BO17" s="11" t="str">
        <f t="shared" si="45"/>
        <v>Bosnie</v>
      </c>
      <c r="BP17" s="12">
        <f>IF(OR(D17="-",D17=""),0,_xlfn.NUMBERVALUE(MID(D17,1,1)))</f>
        <v>2</v>
      </c>
      <c r="BQ17" s="13">
        <f>IF(OR(E17="-",E17=""),0,_xlfn.NUMBERVALUE(MID(E17,1,1)))</f>
        <v>3</v>
      </c>
      <c r="BR17" s="13">
        <f>IF(OR(F17="-",F17=""),0,_xlfn.NUMBERVALUE(MID(F17,1,1)))</f>
        <v>1</v>
      </c>
      <c r="BS17" s="13">
        <f>IF(OR(G17="-",G17=""),0,_xlfn.NUMBERVALUE(MID(G17,1,1)))</f>
        <v>1</v>
      </c>
      <c r="BT17" s="27"/>
      <c r="BU17" s="14">
        <f>IF(OR(I17="-",I17=""),0,_xlfn.NUMBERVALUE(MID(I17,1,1)))</f>
        <v>3</v>
      </c>
      <c r="BV17" s="18"/>
      <c r="BW17" s="31">
        <f>IF(OR(D17="-",D17=""),0,_xlfn.NUMBERVALUE(MID(D17,3,1)))</f>
        <v>0</v>
      </c>
      <c r="BX17" s="9">
        <f>IF(OR(E17="-",E17=""),0,_xlfn.NUMBERVALUE(MID(E17,3,1)))</f>
        <v>1</v>
      </c>
      <c r="BY17" s="9">
        <f>IF(OR(F17="-",F17=""),0,_xlfn.NUMBERVALUE(MID(F17,3,1)))</f>
        <v>1</v>
      </c>
      <c r="BZ17" s="9">
        <f>IF(OR(G17="-",G17=""),0,_xlfn.NUMBERVALUE(MID(G17,3,1)))</f>
        <v>2</v>
      </c>
      <c r="CA17" s="27"/>
      <c r="CB17" s="10">
        <f>IF(OR(I17="-",I17=""),0,_xlfn.NUMBERVALUE(MID(I17,3,1)))</f>
        <v>0</v>
      </c>
      <c r="CD17" s="15" t="s">
        <v>93</v>
      </c>
      <c r="CE17" s="16">
        <f t="shared" ref="CE17" si="105">SUM(CE15,CE16)</f>
        <v>11</v>
      </c>
      <c r="CF17" s="17">
        <f t="shared" ref="CF17" si="106">SUM(CF15,CF16)</f>
        <v>16</v>
      </c>
      <c r="CG17" s="17">
        <f t="shared" ref="CG17" si="107">SUM(CG15,CG16)</f>
        <v>24</v>
      </c>
      <c r="CH17" s="17">
        <f t="shared" ref="CH17" si="108">SUM(CH15,CH16)</f>
        <v>16</v>
      </c>
      <c r="CI17" s="17">
        <f t="shared" ref="CI17" si="109">SUM(CI15,CI16)</f>
        <v>17</v>
      </c>
      <c r="CJ17" s="24">
        <f t="shared" ref="CJ17" si="110">SUM(CJ15,CJ16)</f>
        <v>4</v>
      </c>
      <c r="CL17" s="11" t="str">
        <f t="shared" si="46"/>
        <v>Bosnie</v>
      </c>
      <c r="CM17" s="12">
        <f t="shared" ref="CM17" si="111">-CQ13</f>
        <v>3</v>
      </c>
      <c r="CN17" s="37">
        <f t="shared" ref="CN17" si="112">-CQ14</f>
        <v>0</v>
      </c>
      <c r="CO17" s="37">
        <f t="shared" ref="CO17" si="113">-CQ15</f>
        <v>-3</v>
      </c>
      <c r="CP17" s="37">
        <f t="shared" ref="CP17" si="114">-CQ16</f>
        <v>0</v>
      </c>
      <c r="CQ17" s="27"/>
      <c r="CR17" s="41">
        <f t="shared" ref="CR17" si="115">AA17+AG18-(Z18+AH17)</f>
        <v>6</v>
      </c>
      <c r="CT17" s="8" t="str">
        <f t="shared" si="52"/>
        <v>Bosnie</v>
      </c>
      <c r="CU17" s="51">
        <f>$DK17+0.01*CM17+0.0001*(BP17+CA13)+0.000001*CA13</f>
        <v>17.030200000000001</v>
      </c>
      <c r="CV17" s="51">
        <f>$DK17+0.01*CN17+0.0001*(BQ17+CA14)+0.000001*CA14</f>
        <v>17.000299999999999</v>
      </c>
      <c r="CW17" s="51">
        <f>$DK17+0.01*CO17+0.0001*(BR17+CA15)+0.000001*CA15</f>
        <v>16.970200999999999</v>
      </c>
      <c r="CX17" s="51">
        <f>$DK17+0.01*CP17+0.0001*(BS17+CA16)+0.000001*CA16</f>
        <v>17.000402999999999</v>
      </c>
      <c r="CY17" s="47"/>
      <c r="CZ17" s="52">
        <f>$DK17+0.01*CR17+0.0001*(BU17+CA18)+0.000001*CA18</f>
        <v>17.060602999999997</v>
      </c>
      <c r="DB17" s="19" t="str">
        <f t="shared" si="65"/>
        <v>Bosnie</v>
      </c>
      <c r="DC17" s="3" t="str">
        <f>IF(CZ17&gt;=CY18,CT17,CT18)</f>
        <v>Bosnie</v>
      </c>
      <c r="DJ17" s="63" t="str">
        <f t="shared" si="53"/>
        <v>Bosnie</v>
      </c>
      <c r="DK17" s="66">
        <f t="shared" ref="DK17" si="116">AO15</f>
        <v>17</v>
      </c>
      <c r="DL17" s="73">
        <f>COUNTIF(DC13:DG17,C17)</f>
        <v>3</v>
      </c>
      <c r="DM17" s="11" t="str">
        <f t="shared" si="54"/>
        <v>Bosnie</v>
      </c>
      <c r="DO17" s="11">
        <v>5</v>
      </c>
      <c r="DP17" s="69" t="str">
        <f>VLOOKUP(1,DL13:DM18,2,FALSE)</f>
        <v>Chypre</v>
      </c>
      <c r="DQ17" s="11">
        <v>5</v>
      </c>
      <c r="DR17" s="11">
        <f t="shared" ref="DR17" si="117">VLOOKUP(DP17,U13:AB18,8,FALSE)</f>
        <v>4</v>
      </c>
    </row>
    <row r="18" spans="2:242" ht="15.75" customHeight="1" thickBot="1" x14ac:dyDescent="0.3">
      <c r="B18" s="561"/>
      <c r="C18" s="295" t="s">
        <v>38</v>
      </c>
      <c r="D18" s="162" t="s">
        <v>22</v>
      </c>
      <c r="E18" s="163" t="s">
        <v>31</v>
      </c>
      <c r="F18" s="163" t="s">
        <v>31</v>
      </c>
      <c r="G18" s="163" t="s">
        <v>27</v>
      </c>
      <c r="H18" s="163" t="s">
        <v>12</v>
      </c>
      <c r="I18" s="164"/>
      <c r="K18" s="550"/>
      <c r="L18" s="276" t="s">
        <v>72</v>
      </c>
      <c r="M18" s="201" t="s">
        <v>156</v>
      </c>
      <c r="N18" s="202" t="s">
        <v>33</v>
      </c>
      <c r="O18" s="202" t="s">
        <v>32</v>
      </c>
      <c r="P18" s="202" t="s">
        <v>13</v>
      </c>
      <c r="Q18" s="202" t="s">
        <v>24</v>
      </c>
      <c r="R18" s="164"/>
      <c r="U18" s="15" t="str">
        <f t="shared" si="33"/>
        <v>Andorre</v>
      </c>
      <c r="V18" s="16">
        <f>IF(OR(D18="-",D18=""),0,IF(MID(D18,1,1)&gt;MID(D18,3,1),3,        IF(MID(D18,1,1)=MID(D18,3,1),1,         IF(MID(D18,1,1)&lt;MID(D18,3,1),0)        )))</f>
        <v>0</v>
      </c>
      <c r="W18" s="17">
        <f>IF(OR(E18="-",E18=""),0,IF(MID(E18,1,1)&gt;MID(E18,3,1),3,        IF(MID(E18,1,1)=MID(E18,3,1),1,         IF(MID(E18,1,1)&lt;MID(E18,3,1),0)        )))</f>
        <v>0</v>
      </c>
      <c r="X18" s="17">
        <f>IF(OR(F18="-",F18=""),0,IF(MID(F18,1,1)&gt;MID(F18,3,1),3,        IF(MID(F18,1,1)=MID(F18,3,1),1,         IF(MID(F18,1,1)&lt;MID(F18,3,1),0)        )))</f>
        <v>0</v>
      </c>
      <c r="Y18" s="17">
        <f>IF(OR(G18="-",G18=""),0,IF(MID(G18,1,1)&gt;MID(G18,3,1),3,        IF(MID(G18,1,1)=MID(G18,3,1),1,         IF(MID(G18,1,1)&lt;MID(G18,3,1),0)        )))</f>
        <v>0</v>
      </c>
      <c r="Z18" s="17">
        <f>IF(OR(H18="-",H18=""),0,IF(MID(H18,1,1)&gt;MID(H18,3,1),3,        IF(MID(H18,1,1)=MID(H18,3,1),1,         IF(MID(H18,1,1)&lt;MID(H18,3,1),0)        )))</f>
        <v>0</v>
      </c>
      <c r="AA18" s="28"/>
      <c r="AB18" s="3">
        <v>6</v>
      </c>
      <c r="AC18" s="23">
        <f>IF(OR(D18="-",D18=""),0,IF(MID(D18,3,1)&gt;MID(D18,1,1),3,        IF(MID(D18,3,1)=MID(D18,1,1),1,         IF(MID(D18,3,1)&lt;MID(D18,1,1),0)        )))</f>
        <v>3</v>
      </c>
      <c r="AD18" s="17">
        <f>IF(OR(E18="-",E18=""),0,IF(MID(E18,3,1)&gt;MID(E18,1,1),3,        IF(MID(E18,3,1)=MID(E18,1,1),1,         IF(MID(E18,3,1)&lt;MID(E18,1,1),0)        )))</f>
        <v>3</v>
      </c>
      <c r="AE18" s="17">
        <f>IF(OR(F18="-",F18=""),0,IF(MID(F18,3,1)&gt;MID(F18,1,1),3,        IF(MID(F18,3,1)=MID(F18,1,1),1,         IF(MID(F18,3,1)&lt;MID(F18,1,1),0)        )))</f>
        <v>3</v>
      </c>
      <c r="AF18" s="17">
        <f>IF(OR(G18="-",G18=""),0,IF(MID(G18,3,1)&gt;MID(G18,1,1),3,        IF(MID(G18,3,1)=MID(G18,1,1),1,         IF(MID(G18,3,1)&lt;MID(G18,1,1),0)        )))</f>
        <v>3</v>
      </c>
      <c r="AG18" s="17">
        <f>IF(OR(H18="-",H18=""),0,IF(MID(H18,3,1)&gt;MID(H18,1,1),3,        IF(MID(H18,3,1)=MID(H18,1,1),1,         IF(MID(H18,3,1)&lt;MID(H18,1,1),0)        )))</f>
        <v>3</v>
      </c>
      <c r="AH18" s="28"/>
      <c r="AI18" s="36"/>
      <c r="AJ18" s="77"/>
      <c r="AR18" s="15" t="str">
        <f t="shared" si="34"/>
        <v>Andorre</v>
      </c>
      <c r="AS18" s="16">
        <f t="shared" si="57"/>
        <v>-1</v>
      </c>
      <c r="AT18" s="16">
        <f t="shared" si="74"/>
        <v>-3</v>
      </c>
      <c r="AU18" s="16">
        <f t="shared" si="86"/>
        <v>-3</v>
      </c>
      <c r="AV18" s="16">
        <f t="shared" si="103"/>
        <v>-2</v>
      </c>
      <c r="AW18" s="16">
        <f t="shared" ref="AW18" si="118">BT18-CA18</f>
        <v>-3</v>
      </c>
      <c r="AX18" s="82"/>
      <c r="AY18" s="45"/>
      <c r="AZ18" s="23">
        <f t="shared" si="58"/>
        <v>1</v>
      </c>
      <c r="BA18" s="17">
        <f t="shared" si="75"/>
        <v>3</v>
      </c>
      <c r="BB18" s="17">
        <f t="shared" si="87"/>
        <v>3</v>
      </c>
      <c r="BC18" s="17">
        <f t="shared" si="104"/>
        <v>2</v>
      </c>
      <c r="BD18" s="17">
        <f t="shared" ref="BD18" si="119">CA18-BT18</f>
        <v>3</v>
      </c>
      <c r="BE18" s="28"/>
      <c r="BF18" s="77"/>
      <c r="BG18" s="77"/>
      <c r="BI18" s="77"/>
      <c r="BK18" s="77"/>
      <c r="BM18" s="77"/>
      <c r="BO18" s="15" t="str">
        <f t="shared" si="45"/>
        <v>Andorre</v>
      </c>
      <c r="BP18" s="16">
        <f>IF(OR(D18="-",D18=""),0,_xlfn.NUMBERVALUE(MID(D18,1,1)))</f>
        <v>1</v>
      </c>
      <c r="BQ18" s="17">
        <f>IF(OR(E18="-",E18=""),0,_xlfn.NUMBERVALUE(MID(E18,1,1)))</f>
        <v>1</v>
      </c>
      <c r="BR18" s="17">
        <f>IF(OR(F18="-",F18=""),0,_xlfn.NUMBERVALUE(MID(F18,1,1)))</f>
        <v>1</v>
      </c>
      <c r="BS18" s="17">
        <f>IF(OR(G18="-",G18=""),0,_xlfn.NUMBERVALUE(MID(G18,1,1)))</f>
        <v>1</v>
      </c>
      <c r="BT18" s="17">
        <f>IF(OR(H18="-",H18=""),0,_xlfn.NUMBERVALUE(MID(H18,1,1)))</f>
        <v>0</v>
      </c>
      <c r="BU18" s="28"/>
      <c r="BV18" s="18"/>
      <c r="BW18" s="34">
        <f>IF(OR(D18="-",D18=""),0,_xlfn.NUMBERVALUE(MID(D18,3,1)))</f>
        <v>2</v>
      </c>
      <c r="BX18" s="32">
        <f>IF(OR(E18="-",E18=""),0,_xlfn.NUMBERVALUE(MID(E18,3,1)))</f>
        <v>4</v>
      </c>
      <c r="BY18" s="32">
        <f>IF(OR(F18="-",F18=""),0,_xlfn.NUMBERVALUE(MID(F18,3,1)))</f>
        <v>4</v>
      </c>
      <c r="BZ18" s="32">
        <f>IF(OR(G18="-",G18=""),0,_xlfn.NUMBERVALUE(MID(G18,3,1)))</f>
        <v>3</v>
      </c>
      <c r="CA18" s="32">
        <f>IF(OR(H18="-",H18=""),0,_xlfn.NUMBERVALUE(MID(H18,3,1)))</f>
        <v>3</v>
      </c>
      <c r="CB18" s="28"/>
      <c r="CL18" s="15" t="str">
        <f t="shared" si="46"/>
        <v>Andorre</v>
      </c>
      <c r="CM18" s="16">
        <f t="shared" ref="CM18" si="120">-CR13</f>
        <v>-6</v>
      </c>
      <c r="CN18" s="17">
        <f t="shared" ref="CN18" si="121">-CR14</f>
        <v>-6</v>
      </c>
      <c r="CO18" s="17">
        <f t="shared" ref="CO18" si="122">-CR15</f>
        <v>-6</v>
      </c>
      <c r="CP18" s="17">
        <f t="shared" ref="CP18" si="123">-CR16</f>
        <v>-6</v>
      </c>
      <c r="CQ18" s="17">
        <f t="shared" ref="CQ18" si="124">-CR17</f>
        <v>-6</v>
      </c>
      <c r="CR18" s="28"/>
      <c r="CT18" s="8" t="str">
        <f t="shared" si="52"/>
        <v>Andorre</v>
      </c>
      <c r="CU18" s="51">
        <f>$DK18+0.01*CM18+0.0001*(BP18+CB13)+0.000001*CB13</f>
        <v>-5.9899999999999995E-2</v>
      </c>
      <c r="CV18" s="51">
        <f>$DK18+0.01*CN18+0.0001*(BQ18+CB14)+0.000001*CB14</f>
        <v>-5.9899999999999995E-2</v>
      </c>
      <c r="CW18" s="51">
        <f>$DK18+0.01*CO18+0.0001*(BR18+CB15)+0.000001*CB15</f>
        <v>-5.9899999999999995E-2</v>
      </c>
      <c r="CX18" s="51">
        <f>$DK18+0.01*CP18+0.0001*(BS18+CB16)+0.000001*CB16</f>
        <v>-5.9899999999999995E-2</v>
      </c>
      <c r="CY18" s="51">
        <f>$DK18+0.01*CQ18+0.0001*(BT18+CB17)+0.000001*CB17</f>
        <v>-0.06</v>
      </c>
      <c r="CZ18" s="55"/>
      <c r="DJ18" s="64" t="str">
        <f t="shared" si="53"/>
        <v>Andorre</v>
      </c>
      <c r="DK18" s="67">
        <f t="shared" ref="DK18" si="125">AP15</f>
        <v>0</v>
      </c>
      <c r="DL18" s="74">
        <f>COUNTIF(DC13:DG17,C18)</f>
        <v>0</v>
      </c>
      <c r="DM18" s="15" t="str">
        <f t="shared" si="54"/>
        <v>Andorre</v>
      </c>
      <c r="DO18" s="15">
        <v>6</v>
      </c>
      <c r="DP18" s="70" t="str">
        <f>VLOOKUP(0,DL13:DM18,2,FALSE)</f>
        <v>Andorre</v>
      </c>
      <c r="DQ18" s="15">
        <v>6</v>
      </c>
      <c r="DR18" s="15">
        <f t="shared" ref="DR18" si="126">VLOOKUP(DP18,U13:AB18,8,FALSE)</f>
        <v>6</v>
      </c>
    </row>
    <row r="19" spans="2:242" ht="15.75" customHeight="1" thickBot="1" x14ac:dyDescent="0.3">
      <c r="B19" s="568" t="s">
        <v>2</v>
      </c>
      <c r="C19" s="296" t="s">
        <v>20</v>
      </c>
      <c r="D19" s="258" t="str">
        <f t="shared" ref="D19" si="127">C20</f>
        <v>Slovaquie</v>
      </c>
      <c r="E19" s="259" t="str">
        <f t="shared" ref="E19" si="128">C21</f>
        <v>Espagne</v>
      </c>
      <c r="F19" s="259" t="str">
        <f t="shared" ref="F19" si="129">C22</f>
        <v>Ukraine</v>
      </c>
      <c r="G19" s="259" t="str">
        <f t="shared" ref="G19" si="130">C23</f>
        <v>Macédoine</v>
      </c>
      <c r="H19" s="259" t="str">
        <f t="shared" ref="H19" si="131">C24</f>
        <v>Biélorussie</v>
      </c>
      <c r="I19" s="260" t="str">
        <f t="shared" ref="I19" si="132">C25</f>
        <v>Luxembourg</v>
      </c>
      <c r="K19" s="551" t="s">
        <v>7</v>
      </c>
      <c r="L19" s="472" t="s">
        <v>20</v>
      </c>
      <c r="M19" s="476" t="str">
        <f>L20</f>
        <v>Italie</v>
      </c>
      <c r="N19" s="477" t="str">
        <f>L21</f>
        <v>Croatie</v>
      </c>
      <c r="O19" s="477" t="str">
        <f>L22</f>
        <v>Norvège</v>
      </c>
      <c r="P19" s="477" t="str">
        <f>L23</f>
        <v>Bulgarie</v>
      </c>
      <c r="Q19" s="477" t="str">
        <f>L24</f>
        <v>Malte</v>
      </c>
      <c r="R19" s="478" t="str">
        <f>L25</f>
        <v>Azerbaïdjan</v>
      </c>
      <c r="T19" s="45"/>
      <c r="U19" s="45"/>
      <c r="V19" s="18"/>
      <c r="W19" s="18"/>
      <c r="X19" s="18"/>
      <c r="Y19" s="18"/>
      <c r="Z19" s="18"/>
      <c r="AA19" s="18"/>
      <c r="AC19" s="30" t="str">
        <f t="shared" ref="AC19:AH19" si="133">D19</f>
        <v>Slovaquie</v>
      </c>
      <c r="AD19" s="6" t="str">
        <f t="shared" si="133"/>
        <v>Espagne</v>
      </c>
      <c r="AE19" s="6" t="str">
        <f t="shared" si="133"/>
        <v>Ukraine</v>
      </c>
      <c r="AF19" s="6" t="str">
        <f t="shared" si="133"/>
        <v>Macédoine</v>
      </c>
      <c r="AG19" s="6" t="str">
        <f t="shared" si="133"/>
        <v>Biélorussie</v>
      </c>
      <c r="AH19" s="7" t="str">
        <f t="shared" si="133"/>
        <v>Luxembourg</v>
      </c>
      <c r="AI19" s="36"/>
      <c r="AJ19" s="45"/>
      <c r="AQ19" s="45"/>
      <c r="AR19" s="45"/>
      <c r="AS19" s="45"/>
      <c r="AT19" s="45"/>
      <c r="AU19" s="45"/>
      <c r="AV19" s="45"/>
      <c r="AW19" s="45"/>
      <c r="AX19" s="45"/>
      <c r="AY19" s="45"/>
      <c r="AZ19" s="83" t="str">
        <f t="shared" ref="AZ19:BE19" si="134">D19</f>
        <v>Slovaquie</v>
      </c>
      <c r="BA19" s="84" t="str">
        <f t="shared" si="134"/>
        <v>Espagne</v>
      </c>
      <c r="BB19" s="84" t="str">
        <f t="shared" si="134"/>
        <v>Ukraine</v>
      </c>
      <c r="BC19" s="84" t="str">
        <f t="shared" si="134"/>
        <v>Macédoine</v>
      </c>
      <c r="BD19" s="84" t="str">
        <f t="shared" si="134"/>
        <v>Biélorussie</v>
      </c>
      <c r="BE19" s="85" t="str">
        <f t="shared" si="134"/>
        <v>Luxembourg</v>
      </c>
      <c r="BF19" s="77"/>
      <c r="BG19" s="77"/>
      <c r="BI19" s="77"/>
      <c r="BK19" s="77"/>
      <c r="BM19" s="77"/>
      <c r="BO19" s="35"/>
      <c r="BP19" s="18"/>
      <c r="BQ19" s="18"/>
      <c r="BR19" s="18"/>
      <c r="BS19" s="18"/>
      <c r="BT19" s="18"/>
      <c r="BU19" s="18"/>
      <c r="BV19" s="18"/>
      <c r="BW19" s="30" t="str">
        <f t="shared" ref="BW19:CB19" si="135">D19</f>
        <v>Slovaquie</v>
      </c>
      <c r="BX19" s="6" t="str">
        <f t="shared" si="135"/>
        <v>Espagne</v>
      </c>
      <c r="BY19" s="6" t="str">
        <f t="shared" si="135"/>
        <v>Ukraine</v>
      </c>
      <c r="BZ19" s="6" t="str">
        <f t="shared" si="135"/>
        <v>Macédoine</v>
      </c>
      <c r="CA19" s="6" t="str">
        <f t="shared" si="135"/>
        <v>Biélorussie</v>
      </c>
      <c r="CB19" s="7" t="str">
        <f t="shared" si="135"/>
        <v>Luxembourg</v>
      </c>
      <c r="CL19" s="35"/>
      <c r="CM19" s="30" t="str">
        <f t="shared" ref="CM19:CR19" si="136">D19</f>
        <v>Slovaquie</v>
      </c>
      <c r="CN19" s="6" t="str">
        <f t="shared" si="136"/>
        <v>Espagne</v>
      </c>
      <c r="CO19" s="6" t="str">
        <f t="shared" si="136"/>
        <v>Ukraine</v>
      </c>
      <c r="CP19" s="6" t="str">
        <f t="shared" si="136"/>
        <v>Macédoine</v>
      </c>
      <c r="CQ19" s="6" t="str">
        <f t="shared" si="136"/>
        <v>Biélorussie</v>
      </c>
      <c r="CR19" s="7" t="str">
        <f t="shared" si="136"/>
        <v>Luxembourg</v>
      </c>
      <c r="CT19" s="49"/>
      <c r="CU19" s="30" t="str">
        <f t="shared" ref="CU19:CZ19" si="137">D19</f>
        <v>Slovaquie</v>
      </c>
      <c r="CV19" s="6" t="str">
        <f t="shared" si="137"/>
        <v>Espagne</v>
      </c>
      <c r="CW19" s="6" t="str">
        <f t="shared" si="137"/>
        <v>Ukraine</v>
      </c>
      <c r="CX19" s="6" t="str">
        <f t="shared" si="137"/>
        <v>Macédoine</v>
      </c>
      <c r="CY19" s="6" t="str">
        <f t="shared" si="137"/>
        <v>Biélorussie</v>
      </c>
      <c r="CZ19" s="7" t="str">
        <f t="shared" si="137"/>
        <v>Luxembourg</v>
      </c>
      <c r="DA19" s="43"/>
      <c r="DC19" s="56" t="str">
        <f t="shared" ref="DC19" si="138">CZ19</f>
        <v>Luxembourg</v>
      </c>
      <c r="DD19" s="57" t="str">
        <f t="shared" ref="DD19" si="139">CY19</f>
        <v>Biélorussie</v>
      </c>
      <c r="DE19" s="57" t="str">
        <f t="shared" ref="DE19" si="140">CX19</f>
        <v>Macédoine</v>
      </c>
      <c r="DF19" s="57" t="str">
        <f t="shared" ref="DF19" si="141">CW19</f>
        <v>Ukraine</v>
      </c>
      <c r="DG19" s="58" t="str">
        <f t="shared" ref="DG19" si="142">CV19</f>
        <v>Espagne</v>
      </c>
      <c r="DH19" s="43"/>
      <c r="DI19" s="43"/>
      <c r="DJ19" s="43"/>
      <c r="DK19" s="43"/>
      <c r="DM19" s="45"/>
      <c r="DW19" s="4" t="s">
        <v>100</v>
      </c>
      <c r="IH19" s="1"/>
    </row>
    <row r="20" spans="2:242" ht="15.75" customHeight="1" thickBot="1" x14ac:dyDescent="0.3">
      <c r="B20" s="569"/>
      <c r="C20" s="297" t="s">
        <v>41</v>
      </c>
      <c r="D20" s="166"/>
      <c r="E20" s="169" t="s">
        <v>23</v>
      </c>
      <c r="F20" s="169" t="s">
        <v>13</v>
      </c>
      <c r="G20" s="169" t="s">
        <v>23</v>
      </c>
      <c r="H20" s="169" t="s">
        <v>29</v>
      </c>
      <c r="I20" s="170" t="s">
        <v>10</v>
      </c>
      <c r="K20" s="552"/>
      <c r="L20" s="473" t="s">
        <v>73</v>
      </c>
      <c r="M20" s="166"/>
      <c r="N20" s="479" t="s">
        <v>24</v>
      </c>
      <c r="O20" s="479" t="s">
        <v>23</v>
      </c>
      <c r="P20" s="479" t="s">
        <v>40</v>
      </c>
      <c r="Q20" s="479" t="s">
        <v>40</v>
      </c>
      <c r="R20" s="480" t="s">
        <v>23</v>
      </c>
      <c r="U20" s="25" t="str">
        <f t="shared" ref="U20:U25" si="143">C20</f>
        <v>Slovaquie</v>
      </c>
      <c r="V20" s="26"/>
      <c r="W20" s="20">
        <f>IF(OR(E20="-",E20=""),0,IF(MID(E20,1,1)&gt;MID(E20,3,1),3,        IF(MID(E20,1,1)=MID(E20,3,1),1,         IF(MID(E20,1,1)&lt;MID(E20,3,1),0)        )))</f>
        <v>3</v>
      </c>
      <c r="X20" s="20">
        <f>IF(OR(F20="-",F20=""),0,IF(MID(F20,1,1)&gt;MID(F20,3,1),3,        IF(MID(F20,1,1)=MID(F20,3,1),1,         IF(MID(F20,1,1)&lt;MID(F20,3,1),0)        )))</f>
        <v>1</v>
      </c>
      <c r="Y20" s="20">
        <f>IF(OR(G20="-",G20=""),0,IF(MID(G20,1,1)&gt;MID(G20,3,1),3,        IF(MID(G20,1,1)=MID(G20,3,1),1,         IF(MID(G20,1,1)&lt;MID(G20,3,1),0)        )))</f>
        <v>3</v>
      </c>
      <c r="Z20" s="20">
        <f>IF(OR(H20="-",H20=""),0,IF(MID(H20,1,1)&gt;MID(H20,3,1),3,        IF(MID(H20,1,1)=MID(H20,3,1),1,         IF(MID(H20,1,1)&lt;MID(H20,3,1),0)        )))</f>
        <v>0</v>
      </c>
      <c r="AA20" s="21">
        <f>IF(OR(I20="-",I20=""),0,IF(MID(I20,1,1)&gt;MID(I20,3,1),3,        IF(MID(I20,1,1)=MID(I20,3,1),1,         IF(MID(I20,1,1)&lt;MID(I20,3,1),0)        )))</f>
        <v>3</v>
      </c>
      <c r="AB20" s="3">
        <v>1</v>
      </c>
      <c r="AC20" s="29"/>
      <c r="AD20" s="9">
        <f>IF(OR(E20="-",E20=""),0,IF(MID(E20,3,1)&gt;MID(E20,1,1),3,        IF(MID(E20,3,1)=MID(E20,1,1),1,         IF(MID(E20,3,1)&lt;MID(E20,1,1),0)        )))</f>
        <v>0</v>
      </c>
      <c r="AE20" s="9">
        <f>IF(OR(F20="-",F20=""),0,IF(MID(F20,3,1)&gt;MID(F20,1,1),3,        IF(MID(F20,3,1)=MID(F20,1,1),1,         IF(MID(F20,3,1)&lt;MID(F20,1,1),0)        )))</f>
        <v>1</v>
      </c>
      <c r="AF20" s="9">
        <f>IF(OR(G20="-",G20=""),0,IF(MID(G20,3,1)&gt;MID(G20,1,1),3,        IF(MID(G20,3,1)=MID(G20,1,1),1,         IF(MID(G20,3,1)&lt;MID(G20,1,1),0)        )))</f>
        <v>0</v>
      </c>
      <c r="AG20" s="9">
        <f>IF(OR(H20="-",H20=""),0,IF(MID(H20,3,1)&gt;MID(H20,1,1),3,        IF(MID(H20,3,1)=MID(H20,1,1),1,         IF(MID(H20,3,1)&lt;MID(H20,1,1),0)        )))</f>
        <v>3</v>
      </c>
      <c r="AH20" s="10">
        <f>IF(OR(I20="-",I20=""),0,IF(MID(I20,3,1)&gt;MID(I20,1,1),3,        IF(MID(I20,3,1)=MID(I20,1,1),1,         IF(MID(I20,3,1)&lt;MID(I20,1,1),0)        )))</f>
        <v>0</v>
      </c>
      <c r="AI20" s="36"/>
      <c r="AJ20" s="45"/>
      <c r="AK20" s="525" t="s">
        <v>94</v>
      </c>
      <c r="AL20" s="526"/>
      <c r="AM20" s="526"/>
      <c r="AN20" s="526"/>
      <c r="AO20" s="526"/>
      <c r="AP20" s="527"/>
      <c r="AQ20" s="18"/>
      <c r="AR20" s="25" t="str">
        <f t="shared" ref="AR20:AR25" si="144">C20</f>
        <v>Slovaquie</v>
      </c>
      <c r="AS20" s="26"/>
      <c r="AT20" s="81">
        <f t="shared" ref="AT20" si="145">BQ20-BX20</f>
        <v>1</v>
      </c>
      <c r="AU20" s="81">
        <f t="shared" ref="AU20:AU21" si="146">BR20-BY20</f>
        <v>0</v>
      </c>
      <c r="AV20" s="81">
        <f t="shared" ref="AV20:AV22" si="147">BS20-BZ20</f>
        <v>1</v>
      </c>
      <c r="AW20" s="81">
        <f t="shared" ref="AW20:AW23" si="148">BT20-CA20</f>
        <v>-1</v>
      </c>
      <c r="AX20" s="68">
        <f t="shared" ref="AX20:AX24" si="149">BU20-CB20</f>
        <v>3</v>
      </c>
      <c r="AY20" s="45"/>
      <c r="AZ20" s="86"/>
      <c r="BA20" s="20">
        <f t="shared" ref="BA20" si="150">BX20-BQ20</f>
        <v>-1</v>
      </c>
      <c r="BB20" s="20">
        <f t="shared" ref="BB20:BB21" si="151">BY20-BR20</f>
        <v>0</v>
      </c>
      <c r="BC20" s="20">
        <f t="shared" ref="BC20:BC22" si="152">BZ20-BS20</f>
        <v>-1</v>
      </c>
      <c r="BD20" s="20">
        <f t="shared" ref="BD20:BD23" si="153">CA20-BT20</f>
        <v>1</v>
      </c>
      <c r="BE20" s="21">
        <f t="shared" ref="BE20:BE24" si="154">CB20-BU20</f>
        <v>-3</v>
      </c>
      <c r="BF20" s="77"/>
      <c r="BO20" s="25" t="str">
        <f t="shared" ref="BO20:BO25" si="155">C20</f>
        <v>Slovaquie</v>
      </c>
      <c r="BP20" s="26"/>
      <c r="BQ20" s="20">
        <f>IF(OR(E20="-",E20=""),0,_xlfn.NUMBERVALUE(MID(E20,1,1)))</f>
        <v>2</v>
      </c>
      <c r="BR20" s="20">
        <f>IF(OR(F20="-",F20=""),0,_xlfn.NUMBERVALUE(MID(F20,1,1)))</f>
        <v>0</v>
      </c>
      <c r="BS20" s="20">
        <f>IF(OR(G20="-",G20=""),0,_xlfn.NUMBERVALUE(MID(G20,1,1)))</f>
        <v>2</v>
      </c>
      <c r="BT20" s="20">
        <f>IF(OR(H20="-",H20=""),0,_xlfn.NUMBERVALUE(MID(H20,1,1)))</f>
        <v>0</v>
      </c>
      <c r="BU20" s="21">
        <f>IF(OR(I20="-",I20=""),0,_xlfn.NUMBERVALUE(MID(I20,1,1)))</f>
        <v>3</v>
      </c>
      <c r="BV20" s="18"/>
      <c r="BW20" s="29"/>
      <c r="BX20" s="9">
        <f>IF(OR(E20="-",E20=""),0,_xlfn.NUMBERVALUE(MID(E20,3,1)))</f>
        <v>1</v>
      </c>
      <c r="BY20" s="9">
        <f>IF(OR(F20="-",F20=""),0,_xlfn.NUMBERVALUE(MID(F20,3,1)))</f>
        <v>0</v>
      </c>
      <c r="BZ20" s="9">
        <f>IF(OR(G20="-",G20=""),0,_xlfn.NUMBERVALUE(MID(G20,3,1)))</f>
        <v>1</v>
      </c>
      <c r="CA20" s="9">
        <f>IF(OR(H20="-",H20=""),0,_xlfn.NUMBERVALUE(MID(H20,3,1)))</f>
        <v>1</v>
      </c>
      <c r="CB20" s="10">
        <f>IF(OR(I20="-",I20=""),0,_xlfn.NUMBERVALUE(MID(I20,3,1)))</f>
        <v>0</v>
      </c>
      <c r="CE20" s="528" t="s">
        <v>90</v>
      </c>
      <c r="CF20" s="529"/>
      <c r="CG20" s="529"/>
      <c r="CH20" s="529"/>
      <c r="CI20" s="529"/>
      <c r="CJ20" s="530"/>
      <c r="CL20" s="25" t="str">
        <f t="shared" ref="CL20:CL25" si="156">C20</f>
        <v>Slovaquie</v>
      </c>
      <c r="CM20" s="46"/>
      <c r="CN20" s="9">
        <f t="shared" ref="CN20" si="157">W20+AC21-(V21+AD20)</f>
        <v>0</v>
      </c>
      <c r="CO20" s="9">
        <f t="shared" ref="CO20" si="158">X20+AC22-(V22+AE20)</f>
        <v>3</v>
      </c>
      <c r="CP20" s="9">
        <f t="shared" ref="CP20" si="159">Y20+AC23-(V23+AF20)</f>
        <v>6</v>
      </c>
      <c r="CQ20" s="9">
        <f t="shared" ref="CQ20" si="160">Z20+AC24-(V24+AG20)</f>
        <v>0</v>
      </c>
      <c r="CR20" s="10">
        <f t="shared" ref="CR20" si="161">AC25+AA20-(V25+AH20)</f>
        <v>6</v>
      </c>
      <c r="CT20" s="8" t="str">
        <f t="shared" ref="CT20:CT25" si="162">C20</f>
        <v>Slovaquie</v>
      </c>
      <c r="CU20" s="47"/>
      <c r="CV20" s="51">
        <f>$DK20+0.01*CN20+0.0001*(BQ20+BW21)+0.000001*BW21</f>
        <v>22.0002</v>
      </c>
      <c r="CW20" s="51">
        <f>$DK20+0.01*CO20+0.0001*(BR20+BW22)+0.000001*BW22</f>
        <v>22.030101000000002</v>
      </c>
      <c r="CX20" s="51">
        <f>$DK20+0.01*CP20+0.0001*(BS20+BW23)+0.000001*BW23</f>
        <v>22.060401999999996</v>
      </c>
      <c r="CY20" s="51">
        <f>$DK20+0.01*CQ20+0.0001*(BT20+BW24)+0.000001*BW24</f>
        <v>22.000302999999999</v>
      </c>
      <c r="CZ20" s="52">
        <f>$DK20+0.01*CR20+0.0001*(BU20+BW25)+0.000001*BW25</f>
        <v>22.060703999999998</v>
      </c>
      <c r="DB20" s="60" t="str">
        <f t="shared" ref="DB20:DB24" si="163">CT20</f>
        <v>Slovaquie</v>
      </c>
      <c r="DC20" s="3" t="str">
        <f t="shared" ref="DC20" si="164">IF(CZ20&gt;=CU25,CT20,CT25)</f>
        <v>Slovaquie</v>
      </c>
      <c r="DD20" s="3" t="str">
        <f t="shared" ref="DD20" si="165">IF(CY20&gt;=CU24,CT20,CT24)</f>
        <v>Slovaquie</v>
      </c>
      <c r="DE20" s="3" t="str">
        <f t="shared" ref="DE20" si="166">IF(CX20&gt;=CU23,CT20,CT23)</f>
        <v>Slovaquie</v>
      </c>
      <c r="DF20" s="3" t="str">
        <f t="shared" ref="DF20" si="167">IF(CW20&gt;=CU22,CT20,CT22)</f>
        <v>Slovaquie</v>
      </c>
      <c r="DG20" s="3" t="str">
        <f t="shared" ref="DG20" si="168">IF(CV20&gt;=CU21,CT20,CT21)</f>
        <v>Espagne</v>
      </c>
      <c r="DJ20" s="62" t="str">
        <f t="shared" ref="DJ20:DJ25" si="169">C20</f>
        <v>Slovaquie</v>
      </c>
      <c r="DK20" s="65">
        <f t="shared" ref="DK20" si="170">AK22</f>
        <v>22</v>
      </c>
      <c r="DL20" s="72">
        <f>COUNTIF(DC20:DG24,C20)</f>
        <v>4</v>
      </c>
      <c r="DM20" s="25" t="str">
        <f t="shared" ref="DM20:DM25" si="171">C20</f>
        <v>Slovaquie</v>
      </c>
      <c r="DO20" s="25">
        <v>1</v>
      </c>
      <c r="DP20" s="68" t="str">
        <f>VLOOKUP(5,DL20:DM25,2,FALSE)</f>
        <v>Espagne</v>
      </c>
      <c r="DQ20" s="25">
        <v>1</v>
      </c>
      <c r="DR20" s="25">
        <f t="shared" ref="DR20" si="172">VLOOKUP(DP20,U20:AB25,8,FALSE)</f>
        <v>2</v>
      </c>
      <c r="DW20" s="19" t="str">
        <f>VLOOKUP(MAX($DZ$8:$DZ$16),$DZ$8:$EA$16,2,FALSE)</f>
        <v>Turquie</v>
      </c>
    </row>
    <row r="21" spans="2:242" ht="15.75" customHeight="1" thickBot="1" x14ac:dyDescent="0.3">
      <c r="B21" s="569"/>
      <c r="C21" s="298" t="s">
        <v>42</v>
      </c>
      <c r="D21" s="167" t="s">
        <v>9</v>
      </c>
      <c r="E21" s="165"/>
      <c r="F21" s="167" t="s">
        <v>40</v>
      </c>
      <c r="G21" s="167" t="s">
        <v>39</v>
      </c>
      <c r="H21" s="167" t="s">
        <v>10</v>
      </c>
      <c r="I21" s="172" t="s">
        <v>53</v>
      </c>
      <c r="K21" s="552"/>
      <c r="L21" s="474" t="s">
        <v>74</v>
      </c>
      <c r="M21" s="481" t="s">
        <v>24</v>
      </c>
      <c r="N21" s="165"/>
      <c r="O21" s="482" t="s">
        <v>39</v>
      </c>
      <c r="P21" s="482" t="s">
        <v>10</v>
      </c>
      <c r="Q21" s="482" t="s">
        <v>9</v>
      </c>
      <c r="R21" s="483" t="s">
        <v>11</v>
      </c>
      <c r="U21" s="11" t="str">
        <f t="shared" si="143"/>
        <v>Espagne</v>
      </c>
      <c r="V21" s="12">
        <f>IF(OR(D21="-",D21=""),0,IF(MID(D21,1,1)&gt;MID(D21,3,1),3,        IF(MID(D21,1,1)=MID(D21,3,1),1,         IF(MID(D21,1,1)&lt;MID(D21,3,1),0)        )))</f>
        <v>3</v>
      </c>
      <c r="W21" s="27"/>
      <c r="X21" s="13">
        <f>IF(OR(F21="-",F21=""),0,IF(MID(F21,1,1)&gt;MID(F21,3,1),3,        IF(MID(F21,1,1)=MID(F21,3,1),1,         IF(MID(F21,1,1)&lt;MID(F21,3,1),0)        )))</f>
        <v>3</v>
      </c>
      <c r="Y21" s="13">
        <f>IF(OR(G21="-",G21=""),0,IF(MID(G21,1,1)&gt;MID(G21,3,1),3,        IF(MID(G21,1,1)=MID(G21,3,1),1,         IF(MID(G21,1,1)&lt;MID(G21,3,1),0)        )))</f>
        <v>3</v>
      </c>
      <c r="Z21" s="13">
        <f>IF(OR(H21="-",H21=""),0,IF(MID(H21,1,1)&gt;MID(H21,3,1),3,        IF(MID(H21,1,1)=MID(H21,3,1),1,         IF(MID(H21,1,1)&lt;MID(H21,3,1),0)        )))</f>
        <v>3</v>
      </c>
      <c r="AA21" s="14">
        <f>IF(OR(I21="-",I21=""),0,IF(MID(I21,1,1)&gt;MID(I21,3,1),3,        IF(MID(I21,1,1)=MID(I21,3,1),1,         IF(MID(I21,1,1)&lt;MID(I21,3,1),0)        )))</f>
        <v>3</v>
      </c>
      <c r="AB21" s="3">
        <v>2</v>
      </c>
      <c r="AC21" s="22">
        <f>IF(OR(D21="-",D21=""),0,IF(MID(D21,3,1)&gt;MID(D21,1,1),3,        IF(MID(D21,3,1)=MID(D21,1,1),1,         IF(MID(D21,3,1)&lt;MID(D21,1,1),0)        )))</f>
        <v>0</v>
      </c>
      <c r="AD21" s="27"/>
      <c r="AE21" s="13">
        <f>IF(OR(F21="-",F21=""),0,IF(MID(F21,3,1)&gt;MID(F21,1,1),3,        IF(MID(F21,3,1)=MID(F21,1,1),1,         IF(MID(F21,3,1)&lt;MID(F21,1,1),0)        )))</f>
        <v>0</v>
      </c>
      <c r="AF21" s="13">
        <f>IF(OR(G21="-",G21=""),0,IF(MID(G21,3,1)&gt;MID(G21,1,1),3,        IF(MID(G21,3,1)=MID(G21,1,1),1,         IF(MID(G21,3,1)&lt;MID(G21,1,1),0)        )))</f>
        <v>0</v>
      </c>
      <c r="AG21" s="13">
        <f>IF(OR(H21="-",H21=""),0,IF(MID(H21,3,1)&gt;MID(H21,1,1),3,        IF(MID(H21,3,1)=MID(H21,1,1),1,         IF(MID(H21,3,1)&lt;MID(H21,1,1),0)        )))</f>
        <v>0</v>
      </c>
      <c r="AH21" s="14">
        <f>IF(OR(I21="-",I21=""),0,IF(MID(I21,3,1)&gt;MID(I21,1,1),3,        IF(MID(I21,3,1)=MID(I21,1,1),1,         IF(MID(I21,3,1)&lt;MID(I21,1,1),0)        )))</f>
        <v>0</v>
      </c>
      <c r="AI21" s="36"/>
      <c r="AJ21" s="77"/>
      <c r="AK21" s="31" t="str">
        <f t="shared" ref="AK21:AP21" si="173">D19</f>
        <v>Slovaquie</v>
      </c>
      <c r="AL21" s="9" t="str">
        <f t="shared" si="173"/>
        <v>Espagne</v>
      </c>
      <c r="AM21" s="9" t="str">
        <f t="shared" si="173"/>
        <v>Ukraine</v>
      </c>
      <c r="AN21" s="9" t="str">
        <f t="shared" si="173"/>
        <v>Macédoine</v>
      </c>
      <c r="AO21" s="9" t="str">
        <f t="shared" si="173"/>
        <v>Biélorussie</v>
      </c>
      <c r="AP21" s="10" t="str">
        <f t="shared" si="173"/>
        <v>Luxembourg</v>
      </c>
      <c r="AQ21" s="18"/>
      <c r="AR21" s="11" t="str">
        <f t="shared" si="144"/>
        <v>Espagne</v>
      </c>
      <c r="AS21" s="12">
        <f t="shared" ref="AS21:AS25" si="174">BP21-BW21</f>
        <v>2</v>
      </c>
      <c r="AT21" s="80"/>
      <c r="AU21" s="12">
        <f t="shared" si="146"/>
        <v>1</v>
      </c>
      <c r="AV21" s="12">
        <f t="shared" si="147"/>
        <v>4</v>
      </c>
      <c r="AW21" s="12">
        <f t="shared" si="148"/>
        <v>3</v>
      </c>
      <c r="AX21" s="69">
        <f t="shared" si="149"/>
        <v>4</v>
      </c>
      <c r="AY21" s="45"/>
      <c r="AZ21" s="22">
        <f t="shared" ref="AZ21:AZ25" si="175">BW21-BP21</f>
        <v>-2</v>
      </c>
      <c r="BA21" s="27"/>
      <c r="BB21" s="13">
        <f t="shared" si="151"/>
        <v>-1</v>
      </c>
      <c r="BC21" s="13">
        <f t="shared" si="152"/>
        <v>-4</v>
      </c>
      <c r="BD21" s="13">
        <f t="shared" si="153"/>
        <v>-3</v>
      </c>
      <c r="BE21" s="14">
        <f t="shared" si="154"/>
        <v>-4</v>
      </c>
      <c r="BF21" s="77"/>
      <c r="BG21" s="3"/>
      <c r="BH21" s="528" t="s">
        <v>104</v>
      </c>
      <c r="BI21" s="529"/>
      <c r="BJ21" s="529"/>
      <c r="BK21" s="529"/>
      <c r="BL21" s="529"/>
      <c r="BM21" s="530"/>
      <c r="BO21" s="11" t="str">
        <f t="shared" si="155"/>
        <v>Espagne</v>
      </c>
      <c r="BP21" s="12">
        <f>IF(OR(D21="-",D21=""),0,_xlfn.NUMBERVALUE(MID(D21,1,1)))</f>
        <v>2</v>
      </c>
      <c r="BQ21" s="27"/>
      <c r="BR21" s="13">
        <f>IF(OR(F21="-",F21=""),0,_xlfn.NUMBERVALUE(MID(F21,1,1)))</f>
        <v>1</v>
      </c>
      <c r="BS21" s="13">
        <f>IF(OR(G21="-",G21=""),0,_xlfn.NUMBERVALUE(MID(G21,1,1)))</f>
        <v>5</v>
      </c>
      <c r="BT21" s="13">
        <f>IF(OR(H21="-",H21=""),0,_xlfn.NUMBERVALUE(MID(H21,1,1)))</f>
        <v>3</v>
      </c>
      <c r="BU21" s="14">
        <f>IF(OR(I21="-",I21=""),0,_xlfn.NUMBERVALUE(MID(I21,1,1)))</f>
        <v>4</v>
      </c>
      <c r="BV21" s="18"/>
      <c r="BW21" s="31">
        <f>IF(OR(D21="-",D21=""),0,_xlfn.NUMBERVALUE(MID(D21,3,1)))</f>
        <v>0</v>
      </c>
      <c r="BX21" s="27"/>
      <c r="BY21" s="9">
        <f>IF(OR(F21="-",F21=""),0,_xlfn.NUMBERVALUE(MID(F21,3,1)))</f>
        <v>0</v>
      </c>
      <c r="BZ21" s="9">
        <f>IF(OR(G21="-",G21=""),0,_xlfn.NUMBERVALUE(MID(G21,3,1)))</f>
        <v>1</v>
      </c>
      <c r="CA21" s="9">
        <f>IF(OR(H21="-",H21=""),0,_xlfn.NUMBERVALUE(MID(H21,3,1)))</f>
        <v>0</v>
      </c>
      <c r="CB21" s="10">
        <f>IF(OR(I21="-",I21=""),0,_xlfn.NUMBERVALUE(MID(I21,3,1)))</f>
        <v>0</v>
      </c>
      <c r="CD21" s="4" t="s">
        <v>86</v>
      </c>
      <c r="CE21" s="5" t="str">
        <f t="shared" ref="CE21:CJ21" si="176">D19</f>
        <v>Slovaquie</v>
      </c>
      <c r="CF21" s="6" t="str">
        <f t="shared" si="176"/>
        <v>Espagne</v>
      </c>
      <c r="CG21" s="6" t="str">
        <f t="shared" si="176"/>
        <v>Ukraine</v>
      </c>
      <c r="CH21" s="6" t="str">
        <f t="shared" si="176"/>
        <v>Macédoine</v>
      </c>
      <c r="CI21" s="6" t="str">
        <f t="shared" si="176"/>
        <v>Biélorussie</v>
      </c>
      <c r="CJ21" s="7" t="str">
        <f t="shared" si="176"/>
        <v>Luxembourg</v>
      </c>
      <c r="CL21" s="11" t="str">
        <f t="shared" si="156"/>
        <v>Espagne</v>
      </c>
      <c r="CM21" s="9">
        <f t="shared" ref="CM21" si="177">-CN20</f>
        <v>0</v>
      </c>
      <c r="CN21" s="27"/>
      <c r="CO21" s="37">
        <f t="shared" ref="CO21" si="178">X21+AD22-(W22+AE21)</f>
        <v>6</v>
      </c>
      <c r="CP21" s="37">
        <f t="shared" ref="CP21" si="179">Y21+AD23-(W23+AF21)</f>
        <v>6</v>
      </c>
      <c r="CQ21" s="37">
        <f t="shared" ref="CQ21" si="180">Z21+AD24-(W24+AG21)</f>
        <v>6</v>
      </c>
      <c r="CR21" s="41">
        <f t="shared" ref="CR21" si="181">AA21+AD25-(W25+AH21)</f>
        <v>6</v>
      </c>
      <c r="CT21" s="8" t="str">
        <f t="shared" si="162"/>
        <v>Espagne</v>
      </c>
      <c r="CU21" s="51">
        <f>$DK21+0.01*CM21+0.0001*(BP21+BX20)+0.000001*BX20</f>
        <v>27.000301</v>
      </c>
      <c r="CV21" s="47"/>
      <c r="CW21" s="51">
        <f>$DK21+0.01*CO21+0.0001*(BR21+BX22)+0.000001*BX22</f>
        <v>27.060200999999999</v>
      </c>
      <c r="CX21" s="51">
        <f>$DK21+0.01*CP21+0.0001*(BS21+BX23)+0.000001*BX23</f>
        <v>27.060600999999998</v>
      </c>
      <c r="CY21" s="51">
        <f>$DK21+0.01*CQ21+0.0001*(BT21+BX24)+0.000001*BX24</f>
        <v>27.060400999999999</v>
      </c>
      <c r="CZ21" s="52">
        <f>$DK21+0.01*CR21+0.0001*(BU21+BX25)+0.000001*BX25</f>
        <v>27.060804000000001</v>
      </c>
      <c r="DB21" s="61" t="str">
        <f t="shared" si="163"/>
        <v>Espagne</v>
      </c>
      <c r="DC21" s="3" t="str">
        <f t="shared" ref="DC21" si="182">IF(CZ21&gt;=CV25,CT21,CT25)</f>
        <v>Espagne</v>
      </c>
      <c r="DD21" s="3" t="str">
        <f t="shared" ref="DD21" si="183">IF(CY21&gt;=CV24,CT21,CT24)</f>
        <v>Espagne</v>
      </c>
      <c r="DE21" s="3" t="str">
        <f t="shared" ref="DE21" si="184">IF(CX21&gt;=CV23,CT21,CT23)</f>
        <v>Espagne</v>
      </c>
      <c r="DF21" s="3" t="str">
        <f t="shared" ref="DF21" si="185">IF(CW21&gt;=CV22,CT21,CT22)</f>
        <v>Espagne</v>
      </c>
      <c r="DJ21" s="63" t="str">
        <f t="shared" si="169"/>
        <v>Espagne</v>
      </c>
      <c r="DK21" s="66">
        <f t="shared" ref="DK21" si="186">AL22</f>
        <v>27</v>
      </c>
      <c r="DL21" s="73">
        <f>COUNTIF(DC20:DG24,C21)</f>
        <v>5</v>
      </c>
      <c r="DM21" s="11" t="str">
        <f t="shared" si="171"/>
        <v>Espagne</v>
      </c>
      <c r="DO21" s="11">
        <v>2</v>
      </c>
      <c r="DP21" s="69" t="str">
        <f>VLOOKUP(4,DL20:DM25,2,FALSE)</f>
        <v>Slovaquie</v>
      </c>
      <c r="DQ21" s="11">
        <v>2</v>
      </c>
      <c r="DR21" s="11">
        <f t="shared" ref="DR21" si="187">VLOOKUP(DP21,U20:AB25,8,FALSE)</f>
        <v>1</v>
      </c>
    </row>
    <row r="22" spans="2:242" ht="15.75" customHeight="1" thickBot="1" x14ac:dyDescent="0.3">
      <c r="B22" s="569"/>
      <c r="C22" s="298" t="s">
        <v>43</v>
      </c>
      <c r="D22" s="171" t="s">
        <v>29</v>
      </c>
      <c r="E22" s="167" t="s">
        <v>29</v>
      </c>
      <c r="F22" s="165"/>
      <c r="G22" s="167" t="s">
        <v>40</v>
      </c>
      <c r="H22" s="167" t="s">
        <v>25</v>
      </c>
      <c r="I22" s="168" t="s">
        <v>10</v>
      </c>
      <c r="K22" s="552"/>
      <c r="L22" s="474" t="s">
        <v>75</v>
      </c>
      <c r="M22" s="481" t="s">
        <v>32</v>
      </c>
      <c r="N22" s="482" t="s">
        <v>9</v>
      </c>
      <c r="O22" s="165"/>
      <c r="P22" s="482" t="s">
        <v>23</v>
      </c>
      <c r="Q22" s="482" t="s">
        <v>9</v>
      </c>
      <c r="R22" s="483" t="s">
        <v>13</v>
      </c>
      <c r="U22" s="11" t="str">
        <f t="shared" si="143"/>
        <v>Ukraine</v>
      </c>
      <c r="V22" s="12">
        <f>IF(OR(D22="-",D22=""),0,IF(MID(D22,1,1)&gt;MID(D22,3,1),3,        IF(MID(D22,1,1)=MID(D22,3,1),1,         IF(MID(D22,1,1)&lt;MID(D22,3,1),0)        )))</f>
        <v>0</v>
      </c>
      <c r="W22" s="13">
        <f>IF(OR(E22="-",E22=""),0,IF(MID(E22,1,1)&gt;MID(E22,3,1),3,        IF(MID(E22,1,1)=MID(E22,3,1),1,         IF(MID(E22,1,1)&lt;MID(E22,3,1),0)        )))</f>
        <v>0</v>
      </c>
      <c r="X22" s="27"/>
      <c r="Y22" s="13">
        <f>IF(OR(G22="-",G22=""),0,IF(MID(G22,1,1)&gt;MID(G22,3,1),3,        IF(MID(G22,1,1)=MID(G22,3,1),1,         IF(MID(G22,1,1)&lt;MID(G22,3,1),0)        )))</f>
        <v>3</v>
      </c>
      <c r="Z22" s="13">
        <f>IF(OR(H22="-",H22=""),0,IF(MID(H22,1,1)&gt;MID(H22,3,1),3,        IF(MID(H22,1,1)=MID(H22,3,1),1,         IF(MID(H22,1,1)&lt;MID(H22,3,1),0)        )))</f>
        <v>3</v>
      </c>
      <c r="AA22" s="14">
        <f>IF(OR(I22="-",I22=""),0,IF(MID(I22,1,1)&gt;MID(I22,3,1),3,        IF(MID(I22,1,1)=MID(I22,3,1),1,         IF(MID(I22,1,1)&lt;MID(I22,3,1),0)        )))</f>
        <v>3</v>
      </c>
      <c r="AB22" s="3">
        <v>3</v>
      </c>
      <c r="AC22" s="22">
        <f>IF(OR(D22="-",D22=""),0,IF(MID(D22,3,1)&gt;MID(D22,1,1),3,        IF(MID(D22,3,1)=MID(D22,1,1),1,         IF(MID(D22,3,1)&lt;MID(D22,1,1),0)        )))</f>
        <v>3</v>
      </c>
      <c r="AD22" s="13">
        <f>IF(OR(E22="-",E22=""),0,IF(MID(E22,3,1)&gt;MID(E22,1,1),3,        IF(MID(E22,3,1)=MID(E22,1,1),1,         IF(MID(E22,3,1)&lt;MID(E22,1,1),0)        )))</f>
        <v>3</v>
      </c>
      <c r="AE22" s="27"/>
      <c r="AF22" s="13">
        <f>IF(OR(G22="-",G22=""),0,IF(MID(G22,3,1)&gt;MID(G22,1,1),3,        IF(MID(G22,3,1)=MID(G22,1,1),1,         IF(MID(G22,3,1)&lt;MID(G22,1,1),0)        )))</f>
        <v>0</v>
      </c>
      <c r="AG22" s="13">
        <f>IF(OR(H22="-",H22=""),0,IF(MID(H22,3,1)&gt;MID(H22,1,1),3,        IF(MID(H22,3,1)=MID(H22,1,1),1,         IF(MID(H22,3,1)&lt;MID(H22,1,1),0)        )))</f>
        <v>0</v>
      </c>
      <c r="AH22" s="14">
        <f>IF(OR(I22="-",I22=""),0,IF(MID(I22,3,1)&gt;MID(I22,1,1),3,        IF(MID(I22,3,1)=MID(I22,1,1),1,         IF(MID(I22,3,1)&lt;MID(I22,1,1),0)        )))</f>
        <v>0</v>
      </c>
      <c r="AI22" s="36"/>
      <c r="AJ22" s="77"/>
      <c r="AK22" s="23">
        <f t="shared" ref="AK22" si="188">SUM(W20:AA20,AC21:AC25)</f>
        <v>22</v>
      </c>
      <c r="AL22" s="17">
        <f t="shared" ref="AL22" si="189">SUM(V21,X21:AA21,AD20,AD22:AD25)</f>
        <v>27</v>
      </c>
      <c r="AM22" s="17">
        <f t="shared" ref="AM22" si="190">SUM(V22:W22,Y22:AA22,AE20:AE21,AE23:AE25)</f>
        <v>19</v>
      </c>
      <c r="AN22" s="17">
        <f t="shared" ref="AN22" si="191">SUM(V23:X23,Z23:AA23,AF20:AF22,AF24:AF25)</f>
        <v>4</v>
      </c>
      <c r="AO22" s="17">
        <f t="shared" ref="AO22" si="192">SUM(V24:Y24,AA24,AG20:AG23,AG25)</f>
        <v>11</v>
      </c>
      <c r="AP22" s="24">
        <f t="shared" ref="AP22" si="193">SUM(V25:Z25,AH20:AH24)</f>
        <v>4</v>
      </c>
      <c r="AQ22" s="18"/>
      <c r="AR22" s="11" t="str">
        <f t="shared" si="144"/>
        <v>Ukraine</v>
      </c>
      <c r="AS22" s="12">
        <f t="shared" si="174"/>
        <v>-1</v>
      </c>
      <c r="AT22" s="12">
        <f t="shared" ref="AT22:AT25" si="194">BQ22-BX22</f>
        <v>-1</v>
      </c>
      <c r="AU22" s="80"/>
      <c r="AV22" s="12">
        <f t="shared" si="147"/>
        <v>1</v>
      </c>
      <c r="AW22" s="12">
        <f t="shared" si="148"/>
        <v>2</v>
      </c>
      <c r="AX22" s="69">
        <f t="shared" si="149"/>
        <v>3</v>
      </c>
      <c r="AY22" s="45"/>
      <c r="AZ22" s="22">
        <f t="shared" si="175"/>
        <v>1</v>
      </c>
      <c r="BA22" s="13">
        <f t="shared" ref="BA22:BA25" si="195">BX22-BQ22</f>
        <v>1</v>
      </c>
      <c r="BB22" s="27"/>
      <c r="BC22" s="13">
        <f t="shared" si="152"/>
        <v>-1</v>
      </c>
      <c r="BD22" s="13">
        <f t="shared" si="153"/>
        <v>-2</v>
      </c>
      <c r="BE22" s="14">
        <f t="shared" si="154"/>
        <v>-3</v>
      </c>
      <c r="BF22" s="77"/>
      <c r="BG22" s="4" t="s">
        <v>86</v>
      </c>
      <c r="BH22" s="5" t="str">
        <f t="shared" ref="BH22:BM22" si="196">D19</f>
        <v>Slovaquie</v>
      </c>
      <c r="BI22" s="5" t="str">
        <f t="shared" si="196"/>
        <v>Espagne</v>
      </c>
      <c r="BJ22" s="5" t="str">
        <f t="shared" si="196"/>
        <v>Ukraine</v>
      </c>
      <c r="BK22" s="5" t="str">
        <f t="shared" si="196"/>
        <v>Macédoine</v>
      </c>
      <c r="BL22" s="5" t="str">
        <f t="shared" si="196"/>
        <v>Biélorussie</v>
      </c>
      <c r="BM22" s="76" t="str">
        <f t="shared" si="196"/>
        <v>Luxembourg</v>
      </c>
      <c r="BO22" s="11" t="str">
        <f t="shared" si="155"/>
        <v>Ukraine</v>
      </c>
      <c r="BP22" s="12">
        <f>IF(OR(D22="-",D22=""),0,_xlfn.NUMBERVALUE(MID(D22,1,1)))</f>
        <v>0</v>
      </c>
      <c r="BQ22" s="13">
        <f>IF(OR(E22="-",E22=""),0,_xlfn.NUMBERVALUE(MID(E22,1,1)))</f>
        <v>0</v>
      </c>
      <c r="BR22" s="27"/>
      <c r="BS22" s="13">
        <f>IF(OR(G22="-",G22=""),0,_xlfn.NUMBERVALUE(MID(G22,1,1)))</f>
        <v>1</v>
      </c>
      <c r="BT22" s="13">
        <f>IF(OR(H22="-",H22=""),0,_xlfn.NUMBERVALUE(MID(H22,1,1)))</f>
        <v>3</v>
      </c>
      <c r="BU22" s="14">
        <f>IF(OR(I22="-",I22=""),0,_xlfn.NUMBERVALUE(MID(I22,1,1)))</f>
        <v>3</v>
      </c>
      <c r="BV22" s="18"/>
      <c r="BW22" s="31">
        <f>IF(OR(D22="-",D22=""),0,_xlfn.NUMBERVALUE(MID(D22,3,1)))</f>
        <v>1</v>
      </c>
      <c r="BX22" s="9">
        <f>IF(OR(E22="-",E22=""),0,_xlfn.NUMBERVALUE(MID(E22,3,1)))</f>
        <v>1</v>
      </c>
      <c r="BY22" s="27"/>
      <c r="BZ22" s="9">
        <f>IF(OR(G22="-",G22=""),0,_xlfn.NUMBERVALUE(MID(G22,3,1)))</f>
        <v>0</v>
      </c>
      <c r="CA22" s="9">
        <f>IF(OR(H22="-",H22=""),0,_xlfn.NUMBERVALUE(MID(H22,3,1)))</f>
        <v>1</v>
      </c>
      <c r="CB22" s="10">
        <f>IF(OR(I22="-",I22=""),0,_xlfn.NUMBERVALUE(MID(I22,3,1)))</f>
        <v>0</v>
      </c>
      <c r="CD22" s="8" t="s">
        <v>91</v>
      </c>
      <c r="CE22" s="39">
        <f t="shared" ref="CE22" si="197">SUM(BQ20:BU20)</f>
        <v>7</v>
      </c>
      <c r="CF22" s="9">
        <f>SUM(BP21,BR21:BU21)</f>
        <v>15</v>
      </c>
      <c r="CG22" s="9">
        <f>SUM(BP22:BQ22,BS22:BU22)</f>
        <v>7</v>
      </c>
      <c r="CH22" s="9">
        <f>SUM(BP23:BR23,BT23:BU23)</f>
        <v>4</v>
      </c>
      <c r="CI22" s="9">
        <f>SUM(BP24:BS24,BU24)</f>
        <v>3</v>
      </c>
      <c r="CJ22" s="10">
        <f t="shared" ref="CJ22" si="198">SUM(BP25:BT25)</f>
        <v>4</v>
      </c>
      <c r="CL22" s="11" t="str">
        <f t="shared" si="156"/>
        <v>Ukraine</v>
      </c>
      <c r="CM22" s="12">
        <f t="shared" ref="CM22" si="199">-CO20</f>
        <v>-3</v>
      </c>
      <c r="CN22" s="13">
        <f t="shared" ref="CN22" si="200">-CO21</f>
        <v>-6</v>
      </c>
      <c r="CO22" s="27"/>
      <c r="CP22" s="37">
        <f t="shared" ref="CP22" si="201">Y22+AE23-(X23+AF22)</f>
        <v>6</v>
      </c>
      <c r="CQ22" s="37">
        <f t="shared" ref="CQ22" si="202">Z22+AE24-(X24+AG22)</f>
        <v>6</v>
      </c>
      <c r="CR22" s="41">
        <f t="shared" ref="CR22" si="203">AA22+AE25-(X25+AH22)</f>
        <v>6</v>
      </c>
      <c r="CT22" s="8" t="str">
        <f t="shared" si="162"/>
        <v>Ukraine</v>
      </c>
      <c r="CU22" s="51">
        <f>$DK22+0.01*CM22+0.0001*(BP22+BY20)+0.000001*BY20</f>
        <v>18.97</v>
      </c>
      <c r="CV22" s="51">
        <f>$DK22+0.01*CN22+0.0001*(BQ22+BY21)+0.000001*BY21</f>
        <v>18.940000000000001</v>
      </c>
      <c r="CW22" s="47"/>
      <c r="CX22" s="51">
        <f>$DK22+0.01*CP22+0.0001*(BS22+BY23)+0.000001*BY23</f>
        <v>19.060301999999997</v>
      </c>
      <c r="CY22" s="51">
        <f>$DK22+0.01*CQ22+0.0001*(BT22+BY24)+0.000001*BY24</f>
        <v>19.060501999999996</v>
      </c>
      <c r="CZ22" s="52">
        <f>$DK22+0.01*CR22+0.0001*(BU22+BY25)+0.000001*BY25</f>
        <v>19.060602999999997</v>
      </c>
      <c r="DB22" s="61" t="str">
        <f t="shared" si="163"/>
        <v>Ukraine</v>
      </c>
      <c r="DC22" s="3" t="str">
        <f t="shared" ref="DC22" si="204">IF(CZ22&gt;=CW25,CT22,CT25)</f>
        <v>Ukraine</v>
      </c>
      <c r="DD22" s="3" t="str">
        <f t="shared" ref="DD22" si="205">IF(CY22&gt;=CW24,CT22,CT24)</f>
        <v>Ukraine</v>
      </c>
      <c r="DE22" s="3" t="str">
        <f t="shared" ref="DE22" si="206">IF(CX22&gt;=CW23,CT22,CT23)</f>
        <v>Ukraine</v>
      </c>
      <c r="DJ22" s="63" t="str">
        <f t="shared" si="169"/>
        <v>Ukraine</v>
      </c>
      <c r="DK22" s="66">
        <f t="shared" ref="DK22" si="207">AM22</f>
        <v>19</v>
      </c>
      <c r="DL22" s="73">
        <f>COUNTIF(DC20:DG24,C22)</f>
        <v>3</v>
      </c>
      <c r="DM22" s="11" t="str">
        <f t="shared" si="171"/>
        <v>Ukraine</v>
      </c>
      <c r="DO22" s="11">
        <v>3</v>
      </c>
      <c r="DP22" s="69" t="str">
        <f>VLOOKUP(3,DL20:DM25,2,FALSE)</f>
        <v>Ukraine</v>
      </c>
      <c r="DQ22" s="11">
        <v>3</v>
      </c>
      <c r="DR22" s="11">
        <f t="shared" ref="DR22" si="208">VLOOKUP(DP22,U20:AB25,8,FALSE)</f>
        <v>3</v>
      </c>
    </row>
    <row r="23" spans="2:242" ht="15.75" customHeight="1" thickBot="1" x14ac:dyDescent="0.3">
      <c r="B23" s="569"/>
      <c r="C23" s="298" t="s">
        <v>44</v>
      </c>
      <c r="D23" s="171" t="s">
        <v>32</v>
      </c>
      <c r="E23" s="167" t="s">
        <v>29</v>
      </c>
      <c r="F23" s="167" t="s">
        <v>32</v>
      </c>
      <c r="G23" s="165"/>
      <c r="H23" s="167" t="s">
        <v>22</v>
      </c>
      <c r="I23" s="168" t="s">
        <v>30</v>
      </c>
      <c r="K23" s="552"/>
      <c r="L23" s="474" t="s">
        <v>76</v>
      </c>
      <c r="M23" s="481" t="s">
        <v>26</v>
      </c>
      <c r="N23" s="482" t="s">
        <v>29</v>
      </c>
      <c r="O23" s="482" t="s">
        <v>29</v>
      </c>
      <c r="P23" s="165"/>
      <c r="Q23" s="482" t="s">
        <v>24</v>
      </c>
      <c r="R23" s="483" t="s">
        <v>9</v>
      </c>
      <c r="U23" s="11" t="str">
        <f t="shared" si="143"/>
        <v>Macédoine</v>
      </c>
      <c r="V23" s="12">
        <f>IF(OR(D23="-",D23=""),0,IF(MID(D23,1,1)&gt;MID(D23,3,1),3,        IF(MID(D23,1,1)=MID(D23,3,1),1,         IF(MID(D23,1,1)&lt;MID(D23,3,1),0)        )))</f>
        <v>0</v>
      </c>
      <c r="W23" s="13">
        <f>IF(OR(E23="-",E23=""),0,IF(MID(E23,1,1)&gt;MID(E23,3,1),3,        IF(MID(E23,1,1)=MID(E23,3,1),1,         IF(MID(E23,1,1)&lt;MID(E23,3,1),0)        )))</f>
        <v>0</v>
      </c>
      <c r="X23" s="13">
        <f>IF(OR(F23="-",F23=""),0,IF(MID(F23,1,1)&gt;MID(F23,3,1),3,        IF(MID(F23,1,1)=MID(F23,3,1),1,         IF(MID(F23,1,1)&lt;MID(F23,3,1),0)        )))</f>
        <v>0</v>
      </c>
      <c r="Y23" s="27"/>
      <c r="Z23" s="13">
        <f>IF(OR(H23="-",H23=""),0,IF(MID(H23,1,1)&gt;MID(H23,3,1),3,        IF(MID(H23,1,1)=MID(H23,3,1),1,         IF(MID(H23,1,1)&lt;MID(H23,3,1),0)        )))</f>
        <v>0</v>
      </c>
      <c r="AA23" s="14">
        <f>IF(OR(I23="-",I23=""),0,IF(MID(I23,1,1)&gt;MID(I23,3,1),3,        IF(MID(I23,1,1)=MID(I23,3,1),1,         IF(MID(I23,1,1)&lt;MID(I23,3,1),0)        )))</f>
        <v>3</v>
      </c>
      <c r="AB23" s="3">
        <v>4</v>
      </c>
      <c r="AC23" s="22">
        <f>IF(OR(D23="-",D23=""),0,IF(MID(D23,3,1)&gt;MID(D23,1,1),3,        IF(MID(D23,3,1)=MID(D23,1,1),1,         IF(MID(D23,3,1)&lt;MID(D23,1,1),0)        )))</f>
        <v>3</v>
      </c>
      <c r="AD23" s="13">
        <f>IF(OR(E23="-",E23=""),0,IF(MID(E23,3,1)&gt;MID(E23,1,1),3,        IF(MID(E23,3,1)=MID(E23,1,1),1,         IF(MID(E23,3,1)&lt;MID(E23,1,1),0)        )))</f>
        <v>3</v>
      </c>
      <c r="AE23" s="13">
        <f>IF(OR(F23="-",F23=""),0,IF(MID(F23,3,1)&gt;MID(F23,1,1),3,        IF(MID(F23,3,1)=MID(F23,1,1),1,         IF(MID(F23,3,1)&lt;MID(F23,1,1),0)        )))</f>
        <v>3</v>
      </c>
      <c r="AF23" s="27"/>
      <c r="AG23" s="13">
        <f>IF(OR(H23="-",H23=""),0,IF(MID(H23,3,1)&gt;MID(H23,1,1),3,        IF(MID(H23,3,1)=MID(H23,1,1),1,         IF(MID(H23,3,1)&lt;MID(H23,1,1),0)        )))</f>
        <v>3</v>
      </c>
      <c r="AH23" s="14">
        <f>IF(OR(I23="-",I23=""),0,IF(MID(I23,3,1)&gt;MID(I23,1,1),3,        IF(MID(I23,3,1)=MID(I23,1,1),1,         IF(MID(I23,3,1)&lt;MID(I23,1,1),0)        )))</f>
        <v>0</v>
      </c>
      <c r="AI23" s="77"/>
      <c r="AJ23" s="77"/>
      <c r="AK23" s="45"/>
      <c r="AL23" s="45"/>
      <c r="AM23" s="45"/>
      <c r="AN23" s="45"/>
      <c r="AO23" s="45"/>
      <c r="AP23" s="45"/>
      <c r="AQ23" s="18"/>
      <c r="AR23" s="11" t="str">
        <f t="shared" si="144"/>
        <v>Macédoine</v>
      </c>
      <c r="AS23" s="12">
        <f t="shared" si="174"/>
        <v>-2</v>
      </c>
      <c r="AT23" s="12">
        <f t="shared" si="194"/>
        <v>-1</v>
      </c>
      <c r="AU23" s="12">
        <f t="shared" ref="AU23:AU25" si="209">BR23-BY23</f>
        <v>-2</v>
      </c>
      <c r="AV23" s="80"/>
      <c r="AW23" s="12">
        <f t="shared" si="148"/>
        <v>-1</v>
      </c>
      <c r="AX23" s="69">
        <f t="shared" si="149"/>
        <v>1</v>
      </c>
      <c r="AY23" s="45"/>
      <c r="AZ23" s="22">
        <f t="shared" si="175"/>
        <v>2</v>
      </c>
      <c r="BA23" s="13">
        <f t="shared" si="195"/>
        <v>1</v>
      </c>
      <c r="BB23" s="13">
        <f t="shared" ref="BB23:BB25" si="210">BY23-BR23</f>
        <v>2</v>
      </c>
      <c r="BC23" s="27"/>
      <c r="BD23" s="13">
        <f t="shared" si="153"/>
        <v>1</v>
      </c>
      <c r="BE23" s="14">
        <f t="shared" si="154"/>
        <v>-1</v>
      </c>
      <c r="BF23" s="77"/>
      <c r="BG23" s="19" t="s">
        <v>91</v>
      </c>
      <c r="BH23" s="87">
        <f t="shared" ref="BH23" si="211">SUM(AT20:AX20,AZ21:AZ25)</f>
        <v>9</v>
      </c>
      <c r="BI23" s="32">
        <f t="shared" ref="BI23" si="212">SUM(AS21,AU21:AX21,BA20,BA22:BA25)</f>
        <v>20</v>
      </c>
      <c r="BJ23" s="32">
        <f t="shared" ref="BJ23" si="213">SUM(AS22:AT22,AV22:AX22,BB20:BB21,BB23:BB25)</f>
        <v>10</v>
      </c>
      <c r="BK23" s="32">
        <f t="shared" ref="BK23" si="214">SUM(AS23:AU23,AW23:AX23,BC20:BC22,BC24:BC25)</f>
        <v>-12</v>
      </c>
      <c r="BL23" s="32">
        <f t="shared" ref="BL23" si="215">SUM(AS24:AV24,AX24,BD20:BD23,BD25)</f>
        <v>-6</v>
      </c>
      <c r="BM23" s="33">
        <f t="shared" ref="BM23" si="216">SUM(AS25:AW25,BE20:BE24)</f>
        <v>-21</v>
      </c>
      <c r="BO23" s="11" t="str">
        <f t="shared" si="155"/>
        <v>Macédoine</v>
      </c>
      <c r="BP23" s="12">
        <f>IF(OR(D23="-",D23=""),0,_xlfn.NUMBERVALUE(MID(D23,1,1)))</f>
        <v>0</v>
      </c>
      <c r="BQ23" s="13">
        <f>IF(OR(E23="-",E23=""),0,_xlfn.NUMBERVALUE(MID(E23,1,1)))</f>
        <v>0</v>
      </c>
      <c r="BR23" s="13">
        <f>IF(OR(F23="-",F23=""),0,_xlfn.NUMBERVALUE(MID(F23,1,1)))</f>
        <v>0</v>
      </c>
      <c r="BS23" s="27"/>
      <c r="BT23" s="13">
        <f>IF(OR(H23="-",H23=""),0,_xlfn.NUMBERVALUE(MID(H23,1,1)))</f>
        <v>1</v>
      </c>
      <c r="BU23" s="14">
        <f>IF(OR(I23="-",I23=""),0,_xlfn.NUMBERVALUE(MID(I23,1,1)))</f>
        <v>3</v>
      </c>
      <c r="BV23" s="18"/>
      <c r="BW23" s="31">
        <f>IF(OR(D23="-",D23=""),0,_xlfn.NUMBERVALUE(MID(D23,3,1)))</f>
        <v>2</v>
      </c>
      <c r="BX23" s="9">
        <f>IF(OR(E23="-",E23=""),0,_xlfn.NUMBERVALUE(MID(E23,3,1)))</f>
        <v>1</v>
      </c>
      <c r="BY23" s="9">
        <f>IF(OR(F23="-",F23=""),0,_xlfn.NUMBERVALUE(MID(F23,3,1)))</f>
        <v>2</v>
      </c>
      <c r="BZ23" s="27"/>
      <c r="CA23" s="9">
        <f>IF(OR(H23="-",H23=""),0,_xlfn.NUMBERVALUE(MID(H23,3,1)))</f>
        <v>2</v>
      </c>
      <c r="CB23" s="10">
        <f>IF(OR(I23="-",I23=""),0,_xlfn.NUMBERVALUE(MID(I23,3,1)))</f>
        <v>2</v>
      </c>
      <c r="CD23" s="11" t="s">
        <v>92</v>
      </c>
      <c r="CE23" s="12">
        <f t="shared" ref="CE23" si="217">SUM(BW21:BW25)</f>
        <v>10</v>
      </c>
      <c r="CF23" s="13">
        <f>SUM(BX20,BX22:BX25)</f>
        <v>8</v>
      </c>
      <c r="CG23" s="13">
        <f>SUM(BY20:BY21,BY23:BY25)</f>
        <v>7</v>
      </c>
      <c r="CH23" s="13">
        <f>SUM(BZ20:BZ22,BZ24:BZ25)</f>
        <v>2</v>
      </c>
      <c r="CI23" s="13">
        <f>SUM(CA20:CA23,CA25)</f>
        <v>5</v>
      </c>
      <c r="CJ23" s="14">
        <f t="shared" ref="CJ23" si="218">SUM(CB20:CB24)</f>
        <v>2</v>
      </c>
      <c r="CL23" s="11" t="str">
        <f t="shared" si="156"/>
        <v>Macédoine</v>
      </c>
      <c r="CM23" s="12">
        <f t="shared" ref="CM23" si="219">-CP20</f>
        <v>-6</v>
      </c>
      <c r="CN23" s="13">
        <f t="shared" ref="CN23" si="220">-CP21</f>
        <v>-6</v>
      </c>
      <c r="CO23" s="37">
        <f t="shared" ref="CO23" si="221">-CP22</f>
        <v>-6</v>
      </c>
      <c r="CP23" s="27"/>
      <c r="CQ23" s="37">
        <f t="shared" ref="CQ23" si="222">Z23+AF24-(Y24+AG23)</f>
        <v>-3</v>
      </c>
      <c r="CR23" s="41">
        <f t="shared" ref="CR23" si="223">AA23+AF25-(Y25+AH23)</f>
        <v>0</v>
      </c>
      <c r="CT23" s="8" t="str">
        <f t="shared" si="162"/>
        <v>Macédoine</v>
      </c>
      <c r="CU23" s="51">
        <f>$DK23+0.01*CM23+0.0001*(BP23+BZ20)+0.000001*BZ20</f>
        <v>3.9401010000000003</v>
      </c>
      <c r="CV23" s="51">
        <f>$DK23+0.01*CN23+0.0001*(BQ23+BZ21)+0.000001*BZ21</f>
        <v>3.9401010000000003</v>
      </c>
      <c r="CW23" s="51">
        <f>$DK23+0.01*CO23+0.0001*(BR23+BZ22)+0.000001*BZ22</f>
        <v>3.94</v>
      </c>
      <c r="CX23" s="47"/>
      <c r="CY23" s="51">
        <f>$DK23+0.01*CQ23+0.0001*(BT23+BZ24)+0.000001*BZ24</f>
        <v>3.9701000000000004</v>
      </c>
      <c r="CZ23" s="52">
        <f>$DK23+0.01*CR23+0.0001*(BU23+BZ25)+0.000001*BZ25</f>
        <v>4.0003000000000002</v>
      </c>
      <c r="DB23" s="61" t="str">
        <f t="shared" si="163"/>
        <v>Macédoine</v>
      </c>
      <c r="DC23" s="3" t="str">
        <f t="shared" ref="DC23" si="224">IF(CZ23&gt;=CX25,CT23,CT25)</f>
        <v>Luxembourg</v>
      </c>
      <c r="DD23" s="3" t="str">
        <f t="shared" ref="DD23" si="225">IF(CY23&gt;=CX24,CT23,CT24)</f>
        <v>Biélorussie</v>
      </c>
      <c r="DJ23" s="63" t="str">
        <f t="shared" si="169"/>
        <v>Macédoine</v>
      </c>
      <c r="DK23" s="66">
        <f t="shared" ref="DK23" si="226">AN22</f>
        <v>4</v>
      </c>
      <c r="DL23" s="73">
        <f>COUNTIF(DC20:DG24,C23)</f>
        <v>0</v>
      </c>
      <c r="DM23" s="11" t="str">
        <f t="shared" si="171"/>
        <v>Macédoine</v>
      </c>
      <c r="DO23" s="11">
        <v>4</v>
      </c>
      <c r="DP23" s="69" t="str">
        <f>VLOOKUP(2,DL20:DM25,2,FALSE)</f>
        <v>Biélorussie</v>
      </c>
      <c r="DQ23" s="11">
        <v>4</v>
      </c>
      <c r="DR23" s="11">
        <f t="shared" ref="DR23" si="227">VLOOKUP(DP23,U20:AB25,8,FALSE)</f>
        <v>5</v>
      </c>
    </row>
    <row r="24" spans="2:242" ht="15.75" customHeight="1" thickBot="1" x14ac:dyDescent="0.3">
      <c r="B24" s="569"/>
      <c r="C24" s="298" t="s">
        <v>45</v>
      </c>
      <c r="D24" s="171" t="s">
        <v>27</v>
      </c>
      <c r="E24" s="167" t="s">
        <v>29</v>
      </c>
      <c r="F24" s="167" t="s">
        <v>32</v>
      </c>
      <c r="G24" s="167" t="s">
        <v>13</v>
      </c>
      <c r="H24" s="165"/>
      <c r="I24" s="168" t="s">
        <v>9</v>
      </c>
      <c r="K24" s="552"/>
      <c r="L24" s="474" t="s">
        <v>77</v>
      </c>
      <c r="M24" s="481" t="s">
        <v>29</v>
      </c>
      <c r="N24" s="482" t="s">
        <v>29</v>
      </c>
      <c r="O24" s="482" t="s">
        <v>12</v>
      </c>
      <c r="P24" s="482" t="s">
        <v>29</v>
      </c>
      <c r="Q24" s="165"/>
      <c r="R24" s="483" t="s">
        <v>26</v>
      </c>
      <c r="U24" s="11" t="str">
        <f t="shared" si="143"/>
        <v>Biélorussie</v>
      </c>
      <c r="V24" s="12">
        <f>IF(OR(D24="-",D24=""),0,IF(MID(D24,1,1)&gt;MID(D24,3,1),3,        IF(MID(D24,1,1)=MID(D24,3,1),1,         IF(MID(D24,1,1)&lt;MID(D24,3,1),0)        )))</f>
        <v>0</v>
      </c>
      <c r="W24" s="13">
        <f>IF(OR(E24="-",E24=""),0,IF(MID(E24,1,1)&gt;MID(E24,3,1),3,        IF(MID(E24,1,1)=MID(E24,3,1),1,         IF(MID(E24,1,1)&lt;MID(E24,3,1),0)        )))</f>
        <v>0</v>
      </c>
      <c r="X24" s="13">
        <f>IF(OR(F24="-",F24=""),0,IF(MID(F24,1,1)&gt;MID(F24,3,1),3,        IF(MID(F24,1,1)=MID(F24,3,1),1,         IF(MID(F24,1,1)&lt;MID(F24,3,1),0)        )))</f>
        <v>0</v>
      </c>
      <c r="Y24" s="13">
        <f>IF(OR(G24="-",G24=""),0,IF(MID(G24,1,1)&gt;MID(G24,3,1),3,        IF(MID(G24,1,1)=MID(G24,3,1),1,         IF(MID(G24,1,1)&lt;MID(G24,3,1),0)        )))</f>
        <v>1</v>
      </c>
      <c r="Z24" s="27"/>
      <c r="AA24" s="14">
        <f>IF(OR(I24="-",I24=""),0,IF(MID(I24,1,1)&gt;MID(I24,3,1),3,        IF(MID(I24,1,1)=MID(I24,3,1),1,         IF(MID(I24,1,1)&lt;MID(I24,3,1),0)        )))</f>
        <v>3</v>
      </c>
      <c r="AB24" s="3">
        <v>5</v>
      </c>
      <c r="AC24" s="22">
        <f>IF(OR(D24="-",D24=""),0,IF(MID(D24,3,1)&gt;MID(D24,1,1),3,        IF(MID(D24,3,1)=MID(D24,1,1),1,         IF(MID(D24,3,1)&lt;MID(D24,1,1),0)        )))</f>
        <v>3</v>
      </c>
      <c r="AD24" s="13">
        <f>IF(OR(E24="-",E24=""),0,IF(MID(E24,3,1)&gt;MID(E24,1,1),3,        IF(MID(E24,3,1)=MID(E24,1,1),1,         IF(MID(E24,3,1)&lt;MID(E24,1,1),0)        )))</f>
        <v>3</v>
      </c>
      <c r="AE24" s="13">
        <f>IF(OR(F24="-",F24=""),0,IF(MID(F24,3,1)&gt;MID(F24,1,1),3,        IF(MID(F24,3,1)=MID(F24,1,1),1,         IF(MID(F24,3,1)&lt;MID(F24,1,1),0)        )))</f>
        <v>3</v>
      </c>
      <c r="AF24" s="13">
        <f>IF(OR(G24="-",G24=""),0,IF(MID(G24,3,1)&gt;MID(G24,1,1),3,        IF(MID(G24,3,1)=MID(G24,1,1),1,         IF(MID(G24,3,1)&lt;MID(G24,1,1),0)        )))</f>
        <v>1</v>
      </c>
      <c r="AG24" s="27"/>
      <c r="AH24" s="14">
        <f>IF(OR(I24="-",I24=""),0,IF(MID(I24,3,1)&gt;MID(I24,1,1),3,        IF(MID(I24,3,1)=MID(I24,1,1),1,         IF(MID(I24,3,1)&lt;MID(I24,1,1),0)        )))</f>
        <v>0</v>
      </c>
      <c r="AI24" s="36"/>
      <c r="AJ24" s="77"/>
      <c r="AR24" s="11" t="str">
        <f t="shared" si="144"/>
        <v>Biélorussie</v>
      </c>
      <c r="AS24" s="12">
        <f t="shared" si="174"/>
        <v>-2</v>
      </c>
      <c r="AT24" s="12">
        <f t="shared" si="194"/>
        <v>-1</v>
      </c>
      <c r="AU24" s="12">
        <f t="shared" si="209"/>
        <v>-2</v>
      </c>
      <c r="AV24" s="12">
        <f t="shared" ref="AV24:AV25" si="228">BS24-BZ24</f>
        <v>0</v>
      </c>
      <c r="AW24" s="80"/>
      <c r="AX24" s="69">
        <f t="shared" si="149"/>
        <v>2</v>
      </c>
      <c r="AY24" s="45"/>
      <c r="AZ24" s="22">
        <f t="shared" si="175"/>
        <v>2</v>
      </c>
      <c r="BA24" s="13">
        <f t="shared" si="195"/>
        <v>1</v>
      </c>
      <c r="BB24" s="13">
        <f t="shared" si="210"/>
        <v>2</v>
      </c>
      <c r="BC24" s="13">
        <f t="shared" ref="BC24:BC25" si="229">BZ24-BS24</f>
        <v>0</v>
      </c>
      <c r="BD24" s="27"/>
      <c r="BE24" s="14">
        <f t="shared" si="154"/>
        <v>-2</v>
      </c>
      <c r="BF24" s="77"/>
      <c r="BG24" s="45"/>
      <c r="BH24" s="45"/>
      <c r="BI24" s="45"/>
      <c r="BJ24" s="45"/>
      <c r="BK24" s="45"/>
      <c r="BL24" s="45"/>
      <c r="BM24" s="45"/>
      <c r="BO24" s="11" t="str">
        <f t="shared" si="155"/>
        <v>Biélorussie</v>
      </c>
      <c r="BP24" s="12">
        <f>IF(OR(D24="-",D24=""),0,_xlfn.NUMBERVALUE(MID(D24,1,1)))</f>
        <v>1</v>
      </c>
      <c r="BQ24" s="13">
        <f>IF(OR(E24="-",E24=""),0,_xlfn.NUMBERVALUE(MID(E24,1,1)))</f>
        <v>0</v>
      </c>
      <c r="BR24" s="13">
        <f>IF(OR(F24="-",F24=""),0,_xlfn.NUMBERVALUE(MID(F24,1,1)))</f>
        <v>0</v>
      </c>
      <c r="BS24" s="13">
        <f>IF(OR(G24="-",G24=""),0,_xlfn.NUMBERVALUE(MID(G24,1,1)))</f>
        <v>0</v>
      </c>
      <c r="BT24" s="27"/>
      <c r="BU24" s="14">
        <f>IF(OR(I24="-",I24=""),0,_xlfn.NUMBERVALUE(MID(I24,1,1)))</f>
        <v>2</v>
      </c>
      <c r="BV24" s="18"/>
      <c r="BW24" s="31">
        <f>IF(OR(D24="-",D24=""),0,_xlfn.NUMBERVALUE(MID(D24,3,1)))</f>
        <v>3</v>
      </c>
      <c r="BX24" s="9">
        <f>IF(OR(E24="-",E24=""),0,_xlfn.NUMBERVALUE(MID(E24,3,1)))</f>
        <v>1</v>
      </c>
      <c r="BY24" s="9">
        <f>IF(OR(F24="-",F24=""),0,_xlfn.NUMBERVALUE(MID(F24,3,1)))</f>
        <v>2</v>
      </c>
      <c r="BZ24" s="9">
        <f>IF(OR(G24="-",G24=""),0,_xlfn.NUMBERVALUE(MID(G24,3,1)))</f>
        <v>0</v>
      </c>
      <c r="CA24" s="27"/>
      <c r="CB24" s="10">
        <f>IF(OR(I24="-",I24=""),0,_xlfn.NUMBERVALUE(MID(I24,3,1)))</f>
        <v>0</v>
      </c>
      <c r="CD24" s="15" t="s">
        <v>93</v>
      </c>
      <c r="CE24" s="16">
        <f t="shared" ref="CE24" si="230">SUM(CE22,CE23)</f>
        <v>17</v>
      </c>
      <c r="CF24" s="17">
        <f t="shared" ref="CF24" si="231">SUM(CF22,CF23)</f>
        <v>23</v>
      </c>
      <c r="CG24" s="17">
        <f t="shared" ref="CG24" si="232">SUM(CG22,CG23)</f>
        <v>14</v>
      </c>
      <c r="CH24" s="17">
        <f t="shared" ref="CH24" si="233">SUM(CH22,CH23)</f>
        <v>6</v>
      </c>
      <c r="CI24" s="17">
        <f t="shared" ref="CI24" si="234">SUM(CI22,CI23)</f>
        <v>8</v>
      </c>
      <c r="CJ24" s="24">
        <f t="shared" ref="CJ24" si="235">SUM(CJ22,CJ23)</f>
        <v>6</v>
      </c>
      <c r="CL24" s="11" t="str">
        <f t="shared" si="156"/>
        <v>Biélorussie</v>
      </c>
      <c r="CM24" s="12">
        <f t="shared" ref="CM24" si="236">-CQ20</f>
        <v>0</v>
      </c>
      <c r="CN24" s="37">
        <f t="shared" ref="CN24" si="237">-CQ21</f>
        <v>-6</v>
      </c>
      <c r="CO24" s="37">
        <f t="shared" ref="CO24" si="238">-CQ22</f>
        <v>-6</v>
      </c>
      <c r="CP24" s="37">
        <f t="shared" ref="CP24" si="239">-CQ23</f>
        <v>3</v>
      </c>
      <c r="CQ24" s="27"/>
      <c r="CR24" s="41">
        <f t="shared" ref="CR24" si="240">AA24+AG25-(Z25+AH24)</f>
        <v>3</v>
      </c>
      <c r="CT24" s="8" t="str">
        <f t="shared" si="162"/>
        <v>Biélorussie</v>
      </c>
      <c r="CU24" s="51">
        <f>$DK24+0.01*CM24+0.0001*(BP24+CA20)+0.000001*CA20</f>
        <v>11.000200999999999</v>
      </c>
      <c r="CV24" s="51">
        <f>$DK24+0.01*CN24+0.0001*(BQ24+CA21)+0.000001*CA21</f>
        <v>10.94</v>
      </c>
      <c r="CW24" s="51">
        <f>$DK24+0.01*CO24+0.0001*(BR24+CA22)+0.000001*CA22</f>
        <v>10.940100999999999</v>
      </c>
      <c r="CX24" s="51">
        <f>$DK24+0.01*CP24+0.0001*(BS24+CA23)+0.000001*CA23</f>
        <v>11.030201999999999</v>
      </c>
      <c r="CY24" s="47"/>
      <c r="CZ24" s="52">
        <f>$DK24+0.01*CR24+0.0001*(BU24+CA25)+0.000001*CA25</f>
        <v>11.030300999999998</v>
      </c>
      <c r="DB24" s="19" t="str">
        <f t="shared" si="163"/>
        <v>Biélorussie</v>
      </c>
      <c r="DC24" s="3" t="str">
        <f t="shared" ref="DC24" si="241">IF(CZ24&gt;=CY25,CT24,CT25)</f>
        <v>Biélorussie</v>
      </c>
      <c r="DJ24" s="63" t="str">
        <f t="shared" si="169"/>
        <v>Biélorussie</v>
      </c>
      <c r="DK24" s="66">
        <f t="shared" ref="DK24" si="242">AO22</f>
        <v>11</v>
      </c>
      <c r="DL24" s="73">
        <f>COUNTIF(DC20:DG24,C24)</f>
        <v>2</v>
      </c>
      <c r="DM24" s="11" t="str">
        <f t="shared" si="171"/>
        <v>Biélorussie</v>
      </c>
      <c r="DO24" s="11">
        <v>5</v>
      </c>
      <c r="DP24" s="69" t="str">
        <f>VLOOKUP(1,DL20:DM25,2,FALSE)</f>
        <v>Luxembourg</v>
      </c>
      <c r="DQ24" s="11">
        <v>5</v>
      </c>
      <c r="DR24" s="11">
        <f t="shared" ref="DR24" si="243">VLOOKUP(DP24,U20:AB25,8,FALSE)</f>
        <v>6</v>
      </c>
    </row>
    <row r="25" spans="2:242" ht="15.75" customHeight="1" thickBot="1" x14ac:dyDescent="0.3">
      <c r="B25" s="570"/>
      <c r="C25" s="299" t="s">
        <v>46</v>
      </c>
      <c r="D25" s="173" t="s">
        <v>21</v>
      </c>
      <c r="E25" s="174" t="s">
        <v>28</v>
      </c>
      <c r="F25" s="174" t="s">
        <v>12</v>
      </c>
      <c r="G25" s="174" t="s">
        <v>40</v>
      </c>
      <c r="H25" s="174" t="s">
        <v>24</v>
      </c>
      <c r="I25" s="164"/>
      <c r="K25" s="553"/>
      <c r="L25" s="475" t="s">
        <v>78</v>
      </c>
      <c r="M25" s="484" t="s">
        <v>27</v>
      </c>
      <c r="N25" s="485" t="s">
        <v>13</v>
      </c>
      <c r="O25" s="485" t="s">
        <v>29</v>
      </c>
      <c r="P25" s="485" t="s">
        <v>22</v>
      </c>
      <c r="Q25" s="485" t="s">
        <v>9</v>
      </c>
      <c r="R25" s="164"/>
      <c r="U25" s="15" t="str">
        <f t="shared" si="143"/>
        <v>Luxembourg</v>
      </c>
      <c r="V25" s="16">
        <f>IF(OR(D25="-",D25=""),0,IF(MID(D25,1,1)&gt;MID(D25,3,1),3,        IF(MID(D25,1,1)=MID(D25,3,1),1,         IF(MID(D25,1,1)&lt;MID(D25,3,1),0)        )))</f>
        <v>0</v>
      </c>
      <c r="W25" s="17">
        <f>IF(OR(E25="-",E25=""),0,IF(MID(E25,1,1)&gt;MID(E25,3,1),3,        IF(MID(E25,1,1)=MID(E25,3,1),1,         IF(MID(E25,1,1)&lt;MID(E25,3,1),0)        )))</f>
        <v>0</v>
      </c>
      <c r="X25" s="17">
        <f>IF(OR(F25="-",F25=""),0,IF(MID(F25,1,1)&gt;MID(F25,3,1),3,        IF(MID(F25,1,1)=MID(F25,3,1),1,         IF(MID(F25,1,1)&lt;MID(F25,3,1),0)        )))</f>
        <v>0</v>
      </c>
      <c r="Y25" s="17">
        <f>IF(OR(G25="-",G25=""),0,IF(MID(G25,1,1)&gt;MID(G25,3,1),3,        IF(MID(G25,1,1)=MID(G25,3,1),1,         IF(MID(G25,1,1)&lt;MID(G25,3,1),0)        )))</f>
        <v>3</v>
      </c>
      <c r="Z25" s="17">
        <f>IF(OR(H25="-",H25=""),0,IF(MID(H25,1,1)&gt;MID(H25,3,1),3,        IF(MID(H25,1,1)=MID(H25,3,1),1,         IF(MID(H25,1,1)&lt;MID(H25,3,1),0)        )))</f>
        <v>1</v>
      </c>
      <c r="AA25" s="28"/>
      <c r="AB25" s="3">
        <v>6</v>
      </c>
      <c r="AC25" s="23">
        <f>IF(OR(D25="-",D25=""),0,IF(MID(D25,3,1)&gt;MID(D25,1,1),3,        IF(MID(D25,3,1)=MID(D25,1,1),1,         IF(MID(D25,3,1)&lt;MID(D25,1,1),0)        )))</f>
        <v>3</v>
      </c>
      <c r="AD25" s="17">
        <f>IF(OR(E25="-",E25=""),0,IF(MID(E25,3,1)&gt;MID(E25,1,1),3,        IF(MID(E25,3,1)=MID(E25,1,1),1,         IF(MID(E25,3,1)&lt;MID(E25,1,1),0)        )))</f>
        <v>3</v>
      </c>
      <c r="AE25" s="17">
        <f>IF(OR(F25="-",F25=""),0,IF(MID(F25,3,1)&gt;MID(F25,1,1),3,        IF(MID(F25,3,1)=MID(F25,1,1),1,         IF(MID(F25,3,1)&lt;MID(F25,1,1),0)        )))</f>
        <v>3</v>
      </c>
      <c r="AF25" s="17">
        <f>IF(OR(G25="-",G25=""),0,IF(MID(G25,3,1)&gt;MID(G25,1,1),3,        IF(MID(G25,3,1)=MID(G25,1,1),1,         IF(MID(G25,3,1)&lt;MID(G25,1,1),0)        )))</f>
        <v>0</v>
      </c>
      <c r="AG25" s="17">
        <f>IF(OR(H25="-",H25=""),0,IF(MID(H25,3,1)&gt;MID(H25,1,1),3,        IF(MID(H25,3,1)=MID(H25,1,1),1,         IF(MID(H25,3,1)&lt;MID(H25,1,1),0)        )))</f>
        <v>1</v>
      </c>
      <c r="AH25" s="28"/>
      <c r="AI25" s="36"/>
      <c r="AJ25" s="77"/>
      <c r="AR25" s="15" t="str">
        <f t="shared" si="144"/>
        <v>Luxembourg</v>
      </c>
      <c r="AS25" s="16">
        <f t="shared" si="174"/>
        <v>-2</v>
      </c>
      <c r="AT25" s="16">
        <f t="shared" si="194"/>
        <v>-4</v>
      </c>
      <c r="AU25" s="16">
        <f t="shared" si="209"/>
        <v>-3</v>
      </c>
      <c r="AV25" s="16">
        <f t="shared" si="228"/>
        <v>1</v>
      </c>
      <c r="AW25" s="16">
        <f t="shared" ref="AW25" si="244">BT25-CA25</f>
        <v>0</v>
      </c>
      <c r="AX25" s="82"/>
      <c r="AY25" s="45"/>
      <c r="AZ25" s="23">
        <f t="shared" si="175"/>
        <v>2</v>
      </c>
      <c r="BA25" s="17">
        <f t="shared" si="195"/>
        <v>4</v>
      </c>
      <c r="BB25" s="17">
        <f t="shared" si="210"/>
        <v>3</v>
      </c>
      <c r="BC25" s="17">
        <f t="shared" si="229"/>
        <v>-1</v>
      </c>
      <c r="BD25" s="17">
        <f t="shared" ref="BD25" si="245">CA25-BT25</f>
        <v>0</v>
      </c>
      <c r="BE25" s="28"/>
      <c r="BF25" s="77"/>
      <c r="BG25" s="77"/>
      <c r="BI25" s="77"/>
      <c r="BK25" s="77"/>
      <c r="BM25" s="77"/>
      <c r="BO25" s="15" t="str">
        <f t="shared" si="155"/>
        <v>Luxembourg</v>
      </c>
      <c r="BP25" s="16">
        <f>IF(OR(D25="-",D25=""),0,_xlfn.NUMBERVALUE(MID(D25,1,1)))</f>
        <v>2</v>
      </c>
      <c r="BQ25" s="17">
        <f>IF(OR(E25="-",E25=""),0,_xlfn.NUMBERVALUE(MID(E25,1,1)))</f>
        <v>0</v>
      </c>
      <c r="BR25" s="17">
        <f>IF(OR(F25="-",F25=""),0,_xlfn.NUMBERVALUE(MID(F25,1,1)))</f>
        <v>0</v>
      </c>
      <c r="BS25" s="17">
        <f>IF(OR(G25="-",G25=""),0,_xlfn.NUMBERVALUE(MID(G25,1,1)))</f>
        <v>1</v>
      </c>
      <c r="BT25" s="17">
        <f>IF(OR(H25="-",H25=""),0,_xlfn.NUMBERVALUE(MID(H25,1,1)))</f>
        <v>1</v>
      </c>
      <c r="BU25" s="28"/>
      <c r="BV25" s="18"/>
      <c r="BW25" s="34">
        <f>IF(OR(D25="-",D25=""),0,_xlfn.NUMBERVALUE(MID(D25,3,1)))</f>
        <v>4</v>
      </c>
      <c r="BX25" s="32">
        <f>IF(OR(E25="-",E25=""),0,_xlfn.NUMBERVALUE(MID(E25,3,1)))</f>
        <v>4</v>
      </c>
      <c r="BY25" s="32">
        <f>IF(OR(F25="-",F25=""),0,_xlfn.NUMBERVALUE(MID(F25,3,1)))</f>
        <v>3</v>
      </c>
      <c r="BZ25" s="32">
        <f>IF(OR(G25="-",G25=""),0,_xlfn.NUMBERVALUE(MID(G25,3,1)))</f>
        <v>0</v>
      </c>
      <c r="CA25" s="32">
        <f>IF(OR(H25="-",H25=""),0,_xlfn.NUMBERVALUE(MID(H25,3,1)))</f>
        <v>1</v>
      </c>
      <c r="CB25" s="28"/>
      <c r="CL25" s="15" t="str">
        <f t="shared" si="156"/>
        <v>Luxembourg</v>
      </c>
      <c r="CM25" s="16">
        <f t="shared" ref="CM25" si="246">-CR20</f>
        <v>-6</v>
      </c>
      <c r="CN25" s="17">
        <f t="shared" ref="CN25" si="247">-CR21</f>
        <v>-6</v>
      </c>
      <c r="CO25" s="17">
        <f t="shared" ref="CO25" si="248">-CR22</f>
        <v>-6</v>
      </c>
      <c r="CP25" s="17">
        <f t="shared" ref="CP25" si="249">-CR23</f>
        <v>0</v>
      </c>
      <c r="CQ25" s="17">
        <f t="shared" ref="CQ25" si="250">-CR24</f>
        <v>-3</v>
      </c>
      <c r="CR25" s="28"/>
      <c r="CT25" s="8" t="str">
        <f t="shared" si="162"/>
        <v>Luxembourg</v>
      </c>
      <c r="CU25" s="51">
        <f>$DK25+0.01*CM25+0.0001*(BP25+CB20)+0.000001*CB20</f>
        <v>3.9401999999999999</v>
      </c>
      <c r="CV25" s="51">
        <f>$DK25+0.01*CN25+0.0001*(BQ25+CB21)+0.000001*CB21</f>
        <v>3.94</v>
      </c>
      <c r="CW25" s="51">
        <f>$DK25+0.01*CO25+0.0001*(BR25+CB22)+0.000001*CB22</f>
        <v>3.94</v>
      </c>
      <c r="CX25" s="51">
        <f>$DK25+0.01*CP25+0.0001*(BS25+CB23)+0.000001*CB23</f>
        <v>4.0003020000000005</v>
      </c>
      <c r="CY25" s="51">
        <f>$DK25+0.01*CQ25+0.0001*(BT25+CB24)+0.000001*CB24</f>
        <v>3.9701000000000004</v>
      </c>
      <c r="CZ25" s="55"/>
      <c r="DJ25" s="64" t="str">
        <f t="shared" si="169"/>
        <v>Luxembourg</v>
      </c>
      <c r="DK25" s="67">
        <f t="shared" ref="DK25" si="251">AP22</f>
        <v>4</v>
      </c>
      <c r="DL25" s="74">
        <f>COUNTIF(DC20:DG24,C25)</f>
        <v>1</v>
      </c>
      <c r="DM25" s="15" t="str">
        <f t="shared" si="171"/>
        <v>Luxembourg</v>
      </c>
      <c r="DO25" s="15">
        <v>6</v>
      </c>
      <c r="DP25" s="70" t="str">
        <f>VLOOKUP(0,DL20:DM25,2,FALSE)</f>
        <v>Macédoine</v>
      </c>
      <c r="DQ25" s="15">
        <v>6</v>
      </c>
      <c r="DR25" s="15">
        <f t="shared" ref="DR25" si="252">VLOOKUP(DP25,U20:AB25,8,FALSE)</f>
        <v>4</v>
      </c>
    </row>
    <row r="26" spans="2:242" ht="15.75" customHeight="1" thickBot="1" x14ac:dyDescent="0.3">
      <c r="B26" s="562" t="s">
        <v>3</v>
      </c>
      <c r="C26" s="300" t="s">
        <v>20</v>
      </c>
      <c r="D26" s="261" t="str">
        <f t="shared" ref="D26" si="253">C27</f>
        <v>Pologne</v>
      </c>
      <c r="E26" s="262" t="str">
        <f t="shared" ref="E26" si="254">C28</f>
        <v>Allemagne</v>
      </c>
      <c r="F26" s="262" t="str">
        <f t="shared" ref="F26" si="255">C29</f>
        <v>Écosse</v>
      </c>
      <c r="G26" s="262" t="str">
        <f t="shared" ref="G26" si="256">C30</f>
        <v>Irlande</v>
      </c>
      <c r="H26" s="262" t="str">
        <f t="shared" ref="H26" si="257">C31</f>
        <v>Géorgie</v>
      </c>
      <c r="I26" s="263" t="str">
        <f t="shared" ref="I26" si="258">C32</f>
        <v>Gibraltar</v>
      </c>
      <c r="K26" s="554" t="s">
        <v>8</v>
      </c>
      <c r="L26" s="277" t="s">
        <v>20</v>
      </c>
      <c r="M26" s="278" t="str">
        <f>L27</f>
        <v>Danemark</v>
      </c>
      <c r="N26" s="279" t="str">
        <f>L28</f>
        <v>Portugal</v>
      </c>
      <c r="O26" s="279" t="str">
        <f>L29</f>
        <v>Albanie</v>
      </c>
      <c r="P26" s="279" t="str">
        <f>L30</f>
        <v>Serbie</v>
      </c>
      <c r="Q26" s="279" t="str">
        <f>L31</f>
        <v>Arménie</v>
      </c>
      <c r="R26" s="280" t="str">
        <f>L32</f>
        <v>France</v>
      </c>
      <c r="T26" s="45"/>
      <c r="U26" s="45"/>
      <c r="V26" s="18"/>
      <c r="W26" s="18"/>
      <c r="X26" s="18"/>
      <c r="Y26" s="18"/>
      <c r="Z26" s="18"/>
      <c r="AA26" s="18"/>
      <c r="AC26" s="30" t="str">
        <f t="shared" ref="AC26:AH26" si="259">D26</f>
        <v>Pologne</v>
      </c>
      <c r="AD26" s="6" t="str">
        <f t="shared" si="259"/>
        <v>Allemagne</v>
      </c>
      <c r="AE26" s="6" t="str">
        <f t="shared" si="259"/>
        <v>Écosse</v>
      </c>
      <c r="AF26" s="6" t="str">
        <f t="shared" si="259"/>
        <v>Irlande</v>
      </c>
      <c r="AG26" s="6" t="str">
        <f t="shared" si="259"/>
        <v>Géorgie</v>
      </c>
      <c r="AH26" s="7" t="str">
        <f t="shared" si="259"/>
        <v>Gibraltar</v>
      </c>
      <c r="AI26" s="36"/>
      <c r="AJ26" s="45"/>
      <c r="AQ26" s="45"/>
      <c r="AR26" s="45"/>
      <c r="AS26" s="45"/>
      <c r="AT26" s="45"/>
      <c r="AU26" s="45"/>
      <c r="AV26" s="45"/>
      <c r="AW26" s="45"/>
      <c r="AX26" s="45"/>
      <c r="AY26" s="45"/>
      <c r="AZ26" s="83" t="str">
        <f t="shared" ref="AZ26:BE26" si="260">D26</f>
        <v>Pologne</v>
      </c>
      <c r="BA26" s="84" t="str">
        <f t="shared" si="260"/>
        <v>Allemagne</v>
      </c>
      <c r="BB26" s="84" t="str">
        <f t="shared" si="260"/>
        <v>Écosse</v>
      </c>
      <c r="BC26" s="84" t="str">
        <f t="shared" si="260"/>
        <v>Irlande</v>
      </c>
      <c r="BD26" s="84" t="str">
        <f t="shared" si="260"/>
        <v>Géorgie</v>
      </c>
      <c r="BE26" s="85" t="str">
        <f t="shared" si="260"/>
        <v>Gibraltar</v>
      </c>
      <c r="BF26" s="77"/>
      <c r="BG26" s="77"/>
      <c r="BI26" s="77"/>
      <c r="BK26" s="77"/>
      <c r="BM26" s="77"/>
      <c r="BO26" s="35"/>
      <c r="BP26" s="18"/>
      <c r="BQ26" s="18"/>
      <c r="BR26" s="18"/>
      <c r="BS26" s="18"/>
      <c r="BT26" s="18"/>
      <c r="BU26" s="18"/>
      <c r="BV26" s="18"/>
      <c r="BW26" s="30" t="str">
        <f t="shared" ref="BW26:CB26" si="261">D26</f>
        <v>Pologne</v>
      </c>
      <c r="BX26" s="6" t="str">
        <f t="shared" si="261"/>
        <v>Allemagne</v>
      </c>
      <c r="BY26" s="6" t="str">
        <f t="shared" si="261"/>
        <v>Écosse</v>
      </c>
      <c r="BZ26" s="6" t="str">
        <f t="shared" si="261"/>
        <v>Irlande</v>
      </c>
      <c r="CA26" s="6" t="str">
        <f t="shared" si="261"/>
        <v>Géorgie</v>
      </c>
      <c r="CB26" s="7" t="str">
        <f t="shared" si="261"/>
        <v>Gibraltar</v>
      </c>
      <c r="CL26" s="35"/>
      <c r="CM26" s="30" t="str">
        <f t="shared" ref="CM26:CR26" si="262">D26</f>
        <v>Pologne</v>
      </c>
      <c r="CN26" s="6" t="str">
        <f t="shared" si="262"/>
        <v>Allemagne</v>
      </c>
      <c r="CO26" s="6" t="str">
        <f t="shared" si="262"/>
        <v>Écosse</v>
      </c>
      <c r="CP26" s="6" t="str">
        <f t="shared" si="262"/>
        <v>Irlande</v>
      </c>
      <c r="CQ26" s="6" t="str">
        <f t="shared" si="262"/>
        <v>Géorgie</v>
      </c>
      <c r="CR26" s="7" t="str">
        <f t="shared" si="262"/>
        <v>Gibraltar</v>
      </c>
      <c r="CT26" s="49"/>
      <c r="CU26" s="30" t="str">
        <f t="shared" ref="CU26:CZ26" si="263">D26</f>
        <v>Pologne</v>
      </c>
      <c r="CV26" s="6" t="str">
        <f t="shared" si="263"/>
        <v>Allemagne</v>
      </c>
      <c r="CW26" s="6" t="str">
        <f t="shared" si="263"/>
        <v>Écosse</v>
      </c>
      <c r="CX26" s="6" t="str">
        <f t="shared" si="263"/>
        <v>Irlande</v>
      </c>
      <c r="CY26" s="6" t="str">
        <f t="shared" si="263"/>
        <v>Géorgie</v>
      </c>
      <c r="CZ26" s="7" t="str">
        <f t="shared" si="263"/>
        <v>Gibraltar</v>
      </c>
      <c r="DC26" s="56" t="str">
        <f t="shared" ref="DC26" si="264">CZ26</f>
        <v>Gibraltar</v>
      </c>
      <c r="DD26" s="57" t="str">
        <f t="shared" ref="DD26" si="265">CY26</f>
        <v>Géorgie</v>
      </c>
      <c r="DE26" s="57" t="str">
        <f t="shared" ref="DE26" si="266">CX26</f>
        <v>Irlande</v>
      </c>
      <c r="DF26" s="57" t="str">
        <f t="shared" ref="DF26" si="267">CW26</f>
        <v>Écosse</v>
      </c>
      <c r="DG26" s="58" t="str">
        <f t="shared" ref="DG26" si="268">CV26</f>
        <v>Allemagne</v>
      </c>
      <c r="DJ26" s="43"/>
      <c r="DK26" s="43"/>
      <c r="DM26" s="45"/>
    </row>
    <row r="27" spans="2:242" ht="15.75" customHeight="1" thickBot="1" x14ac:dyDescent="0.3">
      <c r="B27" s="563"/>
      <c r="C27" s="301" t="s">
        <v>47</v>
      </c>
      <c r="D27" s="166"/>
      <c r="E27" s="175" t="s">
        <v>9</v>
      </c>
      <c r="F27" s="175" t="s">
        <v>26</v>
      </c>
      <c r="G27" s="175" t="s">
        <v>23</v>
      </c>
      <c r="H27" s="175" t="s">
        <v>53</v>
      </c>
      <c r="I27" s="176" t="s">
        <v>160</v>
      </c>
      <c r="K27" s="555"/>
      <c r="L27" s="281" t="s">
        <v>79</v>
      </c>
      <c r="M27" s="166"/>
      <c r="N27" s="203" t="s">
        <v>29</v>
      </c>
      <c r="O27" s="203" t="s">
        <v>13</v>
      </c>
      <c r="P27" s="203" t="s">
        <v>9</v>
      </c>
      <c r="Q27" s="203" t="s">
        <v>23</v>
      </c>
      <c r="R27" s="323" t="s">
        <v>163</v>
      </c>
      <c r="U27" s="25" t="str">
        <f t="shared" ref="U27:U32" si="269">C27</f>
        <v>Pologne</v>
      </c>
      <c r="V27" s="26"/>
      <c r="W27" s="20">
        <f>IF(OR(E27="-",E27=""),0,IF(MID(E27,1,1)&gt;MID(E27,3,1),3,        IF(MID(E27,1,1)=MID(E27,3,1),1,         IF(MID(E27,1,1)&lt;MID(E27,3,1),0)        )))</f>
        <v>3</v>
      </c>
      <c r="X27" s="20">
        <f>IF(OR(F27="-",F27=""),0,IF(MID(F27,1,1)&gt;MID(F27,3,1),3,        IF(MID(F27,1,1)=MID(F27,3,1),1,         IF(MID(F27,1,1)&lt;MID(F27,3,1),0)        )))</f>
        <v>1</v>
      </c>
      <c r="Y27" s="20">
        <f>IF(OR(G27="-",G27=""),0,IF(MID(G27,1,1)&gt;MID(G27,3,1),3,        IF(MID(G27,1,1)=MID(G27,3,1),1,         IF(MID(G27,1,1)&lt;MID(G27,3,1),0)        )))</f>
        <v>3</v>
      </c>
      <c r="Z27" s="20">
        <f>IF(OR(H27="-",H27=""),0,IF(MID(H27,1,1)&gt;MID(H27,3,1),3,        IF(MID(H27,1,1)=MID(H27,3,1),1,         IF(MID(H27,1,1)&lt;MID(H27,3,1),0)        )))</f>
        <v>3</v>
      </c>
      <c r="AA27" s="21">
        <f>IF(OR(I27="-",I27=""),0,IF(MID(I27,1,1)&gt;MID(I27,3,1),3,        IF(MID(I27,1,1)=MID(I27,3,1),1,         IF(MID(I27,1,1)&lt;MID(I27,3,1),0)        )))</f>
        <v>3</v>
      </c>
      <c r="AB27" s="3">
        <v>1</v>
      </c>
      <c r="AC27" s="29"/>
      <c r="AD27" s="9">
        <f>IF(OR(E27="-",E27=""),0,IF(MID(E27,3,1)&gt;MID(E27,1,1),3,        IF(MID(E27,3,1)=MID(E27,1,1),1,         IF(MID(E27,3,1)&lt;MID(E27,1,1),0)        )))</f>
        <v>0</v>
      </c>
      <c r="AE27" s="9">
        <f>IF(OR(F27="-",F27=""),0,IF(MID(F27,3,1)&gt;MID(F27,1,1),3,        IF(MID(F27,3,1)=MID(F27,1,1),1,         IF(MID(F27,3,1)&lt;MID(F27,1,1),0)        )))</f>
        <v>1</v>
      </c>
      <c r="AF27" s="9">
        <f>IF(OR(G27="-",G27=""),0,IF(MID(G27,3,1)&gt;MID(G27,1,1),3,        IF(MID(G27,3,1)=MID(G27,1,1),1,         IF(MID(G27,3,1)&lt;MID(G27,1,1),0)        )))</f>
        <v>0</v>
      </c>
      <c r="AG27" s="9">
        <f>IF(OR(H27="-",H27=""),0,IF(MID(H27,3,1)&gt;MID(H27,1,1),3,        IF(MID(H27,3,1)=MID(H27,1,1),1,         IF(MID(H27,3,1)&lt;MID(H27,1,1),0)        )))</f>
        <v>0</v>
      </c>
      <c r="AH27" s="10">
        <f>IF(OR(I27="-",I27=""),0,IF(MID(I27,3,1)&gt;MID(I27,1,1),3,        IF(MID(I27,3,1)=MID(I27,1,1),1,         IF(MID(I27,3,1)&lt;MID(I27,1,1),0)        )))</f>
        <v>0</v>
      </c>
      <c r="AI27" s="36"/>
      <c r="AJ27" s="45"/>
      <c r="AK27" s="525" t="s">
        <v>94</v>
      </c>
      <c r="AL27" s="526"/>
      <c r="AM27" s="526"/>
      <c r="AN27" s="526"/>
      <c r="AO27" s="526"/>
      <c r="AP27" s="527"/>
      <c r="AQ27" s="18"/>
      <c r="AR27" s="25" t="str">
        <f t="shared" ref="AR27:AR32" si="270">C27</f>
        <v>Pologne</v>
      </c>
      <c r="AS27" s="26"/>
      <c r="AT27" s="81">
        <f t="shared" ref="AT27" si="271">BQ27-BX27</f>
        <v>2</v>
      </c>
      <c r="AU27" s="81">
        <f t="shared" ref="AU27:AU28" si="272">BR27-BY27</f>
        <v>0</v>
      </c>
      <c r="AV27" s="81">
        <f t="shared" ref="AV27:AV29" si="273">BS27-BZ27</f>
        <v>1</v>
      </c>
      <c r="AW27" s="81">
        <f t="shared" ref="AW27:AW30" si="274">BT27-CA27</f>
        <v>4</v>
      </c>
      <c r="AX27" s="68">
        <f t="shared" ref="AX27:AX31" si="275">BU27-CB27</f>
        <v>7</v>
      </c>
      <c r="AY27" s="45"/>
      <c r="AZ27" s="86"/>
      <c r="BA27" s="20">
        <f t="shared" ref="BA27" si="276">BX27-BQ27</f>
        <v>-2</v>
      </c>
      <c r="BB27" s="20">
        <f t="shared" ref="BB27:BB28" si="277">BY27-BR27</f>
        <v>0</v>
      </c>
      <c r="BC27" s="20">
        <f t="shared" ref="BC27:BC29" si="278">BZ27-BS27</f>
        <v>-1</v>
      </c>
      <c r="BD27" s="20">
        <f t="shared" ref="BD27:BD30" si="279">CA27-BT27</f>
        <v>-4</v>
      </c>
      <c r="BE27" s="21">
        <f t="shared" ref="BE27:BE31" si="280">CB27-BU27</f>
        <v>-7</v>
      </c>
      <c r="BF27" s="77"/>
      <c r="BO27" s="25" t="str">
        <f t="shared" ref="BO27:BO32" si="281">C27</f>
        <v>Pologne</v>
      </c>
      <c r="BP27" s="26"/>
      <c r="BQ27" s="20">
        <f>IF(OR(E27="-",E27=""),0,_xlfn.NUMBERVALUE(MID(E27,1,1)))</f>
        <v>2</v>
      </c>
      <c r="BR27" s="20">
        <f>IF(OR(F27="-",F27=""),0,_xlfn.NUMBERVALUE(MID(F27,1,1)))</f>
        <v>2</v>
      </c>
      <c r="BS27" s="20">
        <f>IF(OR(G27="-",G27=""),0,_xlfn.NUMBERVALUE(MID(G27,1,1)))</f>
        <v>2</v>
      </c>
      <c r="BT27" s="20">
        <f>IF(OR(H27="-",H27=""),0,_xlfn.NUMBERVALUE(MID(H27,1,1)))</f>
        <v>4</v>
      </c>
      <c r="BU27" s="21">
        <f>IF(OR(I27="-",I27=""),0,_xlfn.NUMBERVALUE(MID(I27,1,1)))</f>
        <v>8</v>
      </c>
      <c r="BV27" s="18"/>
      <c r="BW27" s="29"/>
      <c r="BX27" s="9">
        <f>IF(OR(E27="-",E27=""),0,_xlfn.NUMBERVALUE(MID(E27,3,1)))</f>
        <v>0</v>
      </c>
      <c r="BY27" s="9">
        <f>IF(OR(F27="-",F27=""),0,_xlfn.NUMBERVALUE(MID(F27,3,1)))</f>
        <v>2</v>
      </c>
      <c r="BZ27" s="9">
        <f>IF(OR(G27="-",G27=""),0,_xlfn.NUMBERVALUE(MID(G27,3,1)))</f>
        <v>1</v>
      </c>
      <c r="CA27" s="9">
        <f>IF(OR(H27="-",H27=""),0,_xlfn.NUMBERVALUE(MID(H27,3,1)))</f>
        <v>0</v>
      </c>
      <c r="CB27" s="10">
        <f>IF(OR(I27="-",I27=""),0,_xlfn.NUMBERVALUE(MID(I27,3,1)))</f>
        <v>1</v>
      </c>
      <c r="CE27" s="528" t="s">
        <v>90</v>
      </c>
      <c r="CF27" s="529"/>
      <c r="CG27" s="529"/>
      <c r="CH27" s="529"/>
      <c r="CI27" s="529"/>
      <c r="CJ27" s="530"/>
      <c r="CL27" s="25" t="str">
        <f t="shared" ref="CL27:CL32" si="282">C27</f>
        <v>Pologne</v>
      </c>
      <c r="CM27" s="46"/>
      <c r="CN27" s="9">
        <f t="shared" ref="CN27" si="283">W27+AC28-(V28+AD27)</f>
        <v>0</v>
      </c>
      <c r="CO27" s="9">
        <f t="shared" ref="CO27" si="284">X27+AC29-(V29+AE27)</f>
        <v>0</v>
      </c>
      <c r="CP27" s="9">
        <f t="shared" ref="CP27" si="285">Y27+AC30-(V30+AF27)</f>
        <v>3</v>
      </c>
      <c r="CQ27" s="9">
        <f t="shared" ref="CQ27" si="286">Z27+AC31-(V31+AG27)</f>
        <v>6</v>
      </c>
      <c r="CR27" s="10">
        <f t="shared" ref="CR27" si="287">AC32+AA27-(V32+AH27)</f>
        <v>6</v>
      </c>
      <c r="CT27" s="8" t="str">
        <f t="shared" ref="CT27:CT32" si="288">C27</f>
        <v>Pologne</v>
      </c>
      <c r="CU27" s="47"/>
      <c r="CV27" s="51">
        <f>$DK27+0.01*CN27+0.0001*(BQ27+BW28)+0.000001*BW28</f>
        <v>21.000301</v>
      </c>
      <c r="CW27" s="51">
        <f>$DK27+0.01*CO27+0.0001*(BR27+BW29)+0.000001*BW29</f>
        <v>21.000401999999998</v>
      </c>
      <c r="CX27" s="51">
        <f>$DK27+0.01*CP27+0.0001*(BS27+BW30)+0.000001*BW30</f>
        <v>21.030301000000001</v>
      </c>
      <c r="CY27" s="51">
        <f>$DK27+0.01*CQ27+0.0001*(BT27+BW31)+0.000001*BW31</f>
        <v>21.060804000000001</v>
      </c>
      <c r="CZ27" s="52">
        <f>$DK27+0.01*CR27+0.0001*(BU27+BW32)+0.000001*BW32</f>
        <v>21.061506999999999</v>
      </c>
      <c r="DB27" s="60" t="str">
        <f t="shared" ref="DB27:DB31" si="289">CT27</f>
        <v>Pologne</v>
      </c>
      <c r="DC27" s="3" t="str">
        <f t="shared" ref="DC27" si="290">IF(CZ27&gt;=CU32,CT27,CT32)</f>
        <v>Pologne</v>
      </c>
      <c r="DD27" s="3" t="str">
        <f t="shared" ref="DD27" si="291">IF(CY27&gt;=CU31,CT27,CT31)</f>
        <v>Pologne</v>
      </c>
      <c r="DE27" s="3" t="str">
        <f t="shared" ref="DE27" si="292">IF(CX27&gt;=CU30,CT27,CT30)</f>
        <v>Pologne</v>
      </c>
      <c r="DF27" s="3" t="str">
        <f t="shared" ref="DF27" si="293">IF(CW27&gt;=CU29,CT27,CT29)</f>
        <v>Pologne</v>
      </c>
      <c r="DG27" s="3" t="str">
        <f t="shared" ref="DG27" si="294">IF(CV27&gt;=CU28,CT27,CT28)</f>
        <v>Allemagne</v>
      </c>
      <c r="DJ27" s="62" t="str">
        <f t="shared" ref="DJ27:DJ32" si="295">C27</f>
        <v>Pologne</v>
      </c>
      <c r="DK27" s="65">
        <f t="shared" ref="DK27" si="296">AK29</f>
        <v>21</v>
      </c>
      <c r="DL27" s="72">
        <f>COUNTIF(DC27:DG31,C27)</f>
        <v>4</v>
      </c>
      <c r="DM27" s="25" t="str">
        <f t="shared" ref="DM27:DM32" si="297">C27</f>
        <v>Pologne</v>
      </c>
      <c r="DO27" s="25">
        <v>1</v>
      </c>
      <c r="DP27" s="68" t="str">
        <f>VLOOKUP(5,DL27:DM32,2,FALSE)</f>
        <v>Allemagne</v>
      </c>
      <c r="DQ27" s="25">
        <v>1</v>
      </c>
      <c r="DR27" s="25">
        <f t="shared" ref="DR27" si="298">VLOOKUP(DP27,U27:AB32,8,FALSE)</f>
        <v>2</v>
      </c>
    </row>
    <row r="28" spans="2:242" ht="15.75" customHeight="1" thickBot="1" x14ac:dyDescent="0.3">
      <c r="B28" s="563"/>
      <c r="C28" s="302" t="s">
        <v>48</v>
      </c>
      <c r="D28" s="177" t="s">
        <v>25</v>
      </c>
      <c r="E28" s="165"/>
      <c r="F28" s="178" t="s">
        <v>23</v>
      </c>
      <c r="G28" s="178" t="s">
        <v>24</v>
      </c>
      <c r="H28" s="178" t="s">
        <v>23</v>
      </c>
      <c r="I28" s="179" t="s">
        <v>53</v>
      </c>
      <c r="K28" s="555"/>
      <c r="L28" s="282" t="s">
        <v>80</v>
      </c>
      <c r="M28" s="204" t="s">
        <v>40</v>
      </c>
      <c r="N28" s="165"/>
      <c r="O28" s="205" t="s">
        <v>29</v>
      </c>
      <c r="P28" s="205" t="s">
        <v>23</v>
      </c>
      <c r="Q28" s="205" t="s">
        <v>40</v>
      </c>
      <c r="R28" s="323" t="s">
        <v>163</v>
      </c>
      <c r="U28" s="11" t="str">
        <f t="shared" si="269"/>
        <v>Allemagne</v>
      </c>
      <c r="V28" s="12">
        <f>IF(OR(D28="-",D28=""),0,IF(MID(D28,1,1)&gt;MID(D28,3,1),3,        IF(MID(D28,1,1)=MID(D28,3,1),1,         IF(MID(D28,1,1)&lt;MID(D28,3,1),0)        )))</f>
        <v>3</v>
      </c>
      <c r="W28" s="27"/>
      <c r="X28" s="13">
        <f>IF(OR(F28="-",F28=""),0,IF(MID(F28,1,1)&gt;MID(F28,3,1),3,        IF(MID(F28,1,1)=MID(F28,3,1),1,         IF(MID(F28,1,1)&lt;MID(F28,3,1),0)        )))</f>
        <v>3</v>
      </c>
      <c r="Y28" s="13">
        <f>IF(OR(G28="-",G28=""),0,IF(MID(G28,1,1)&gt;MID(G28,3,1),3,        IF(MID(G28,1,1)=MID(G28,3,1),1,         IF(MID(G28,1,1)&lt;MID(G28,3,1),0)        )))</f>
        <v>1</v>
      </c>
      <c r="Z28" s="13">
        <f>IF(OR(H28="-",H28=""),0,IF(MID(H28,1,1)&gt;MID(H28,3,1),3,        IF(MID(H28,1,1)=MID(H28,3,1),1,         IF(MID(H28,1,1)&lt;MID(H28,3,1),0)        )))</f>
        <v>3</v>
      </c>
      <c r="AA28" s="14">
        <f>IF(OR(I28="-",I28=""),0,IF(MID(I28,1,1)&gt;MID(I28,3,1),3,        IF(MID(I28,1,1)=MID(I28,3,1),1,         IF(MID(I28,1,1)&lt;MID(I28,3,1),0)        )))</f>
        <v>3</v>
      </c>
      <c r="AB28" s="3">
        <v>2</v>
      </c>
      <c r="AC28" s="22">
        <f>IF(OR(D28="-",D28=""),0,IF(MID(D28,3,1)&gt;MID(D28,1,1),3,        IF(MID(D28,3,1)=MID(D28,1,1),1,         IF(MID(D28,3,1)&lt;MID(D28,1,1),0)        )))</f>
        <v>0</v>
      </c>
      <c r="AD28" s="27"/>
      <c r="AE28" s="13">
        <f>IF(OR(F28="-",F28=""),0,IF(MID(F28,3,1)&gt;MID(F28,1,1),3,        IF(MID(F28,3,1)=MID(F28,1,1),1,         IF(MID(F28,3,1)&lt;MID(F28,1,1),0)        )))</f>
        <v>0</v>
      </c>
      <c r="AF28" s="13">
        <f>IF(OR(G28="-",G28=""),0,IF(MID(G28,3,1)&gt;MID(G28,1,1),3,        IF(MID(G28,3,1)=MID(G28,1,1),1,         IF(MID(G28,3,1)&lt;MID(G28,1,1),0)        )))</f>
        <v>1</v>
      </c>
      <c r="AG28" s="13">
        <f>IF(OR(H28="-",H28=""),0,IF(MID(H28,3,1)&gt;MID(H28,1,1),3,        IF(MID(H28,3,1)=MID(H28,1,1),1,         IF(MID(H28,3,1)&lt;MID(H28,1,1),0)        )))</f>
        <v>0</v>
      </c>
      <c r="AH28" s="14">
        <f>IF(OR(I28="-",I28=""),0,IF(MID(I28,3,1)&gt;MID(I28,1,1),3,        IF(MID(I28,3,1)=MID(I28,1,1),1,         IF(MID(I28,3,1)&lt;MID(I28,1,1),0)        )))</f>
        <v>0</v>
      </c>
      <c r="AI28" s="36"/>
      <c r="AJ28" s="77"/>
      <c r="AK28" s="31" t="str">
        <f t="shared" ref="AK28:AP28" si="299">D26</f>
        <v>Pologne</v>
      </c>
      <c r="AL28" s="9" t="str">
        <f t="shared" si="299"/>
        <v>Allemagne</v>
      </c>
      <c r="AM28" s="9" t="str">
        <f t="shared" si="299"/>
        <v>Écosse</v>
      </c>
      <c r="AN28" s="9" t="str">
        <f t="shared" si="299"/>
        <v>Irlande</v>
      </c>
      <c r="AO28" s="9" t="str">
        <f t="shared" si="299"/>
        <v>Géorgie</v>
      </c>
      <c r="AP28" s="10" t="str">
        <f t="shared" si="299"/>
        <v>Gibraltar</v>
      </c>
      <c r="AQ28" s="18"/>
      <c r="AR28" s="11" t="str">
        <f t="shared" si="270"/>
        <v>Allemagne</v>
      </c>
      <c r="AS28" s="12">
        <f t="shared" ref="AS28:AS32" si="300">BP28-BW28</f>
        <v>2</v>
      </c>
      <c r="AT28" s="80"/>
      <c r="AU28" s="12">
        <f t="shared" si="272"/>
        <v>1</v>
      </c>
      <c r="AV28" s="12">
        <f t="shared" si="273"/>
        <v>0</v>
      </c>
      <c r="AW28" s="12">
        <f t="shared" si="274"/>
        <v>1</v>
      </c>
      <c r="AX28" s="69">
        <f t="shared" si="275"/>
        <v>4</v>
      </c>
      <c r="AY28" s="45"/>
      <c r="AZ28" s="22">
        <f t="shared" ref="AZ28:AZ32" si="301">BW28-BP28</f>
        <v>-2</v>
      </c>
      <c r="BA28" s="27"/>
      <c r="BB28" s="13">
        <f t="shared" si="277"/>
        <v>-1</v>
      </c>
      <c r="BC28" s="13">
        <f t="shared" si="278"/>
        <v>0</v>
      </c>
      <c r="BD28" s="13">
        <f t="shared" si="279"/>
        <v>-1</v>
      </c>
      <c r="BE28" s="14">
        <f t="shared" si="280"/>
        <v>-4</v>
      </c>
      <c r="BF28" s="77"/>
      <c r="BG28" s="3"/>
      <c r="BH28" s="528" t="s">
        <v>104</v>
      </c>
      <c r="BI28" s="529"/>
      <c r="BJ28" s="529"/>
      <c r="BK28" s="529"/>
      <c r="BL28" s="529"/>
      <c r="BM28" s="530"/>
      <c r="BO28" s="11" t="str">
        <f t="shared" si="281"/>
        <v>Allemagne</v>
      </c>
      <c r="BP28" s="12">
        <f>IF(OR(D28="-",D28=""),0,_xlfn.NUMBERVALUE(MID(D28,1,1)))</f>
        <v>3</v>
      </c>
      <c r="BQ28" s="27"/>
      <c r="BR28" s="13">
        <f>IF(OR(F28="-",F28=""),0,_xlfn.NUMBERVALUE(MID(F28,1,1)))</f>
        <v>2</v>
      </c>
      <c r="BS28" s="13">
        <f>IF(OR(G28="-",G28=""),0,_xlfn.NUMBERVALUE(MID(G28,1,1)))</f>
        <v>1</v>
      </c>
      <c r="BT28" s="13">
        <f>IF(OR(H28="-",H28=""),0,_xlfn.NUMBERVALUE(MID(H28,1,1)))</f>
        <v>2</v>
      </c>
      <c r="BU28" s="14">
        <f>IF(OR(I28="-",I28=""),0,_xlfn.NUMBERVALUE(MID(I28,1,1)))</f>
        <v>4</v>
      </c>
      <c r="BV28" s="18"/>
      <c r="BW28" s="31">
        <f>IF(OR(D28="-",D28=""),0,_xlfn.NUMBERVALUE(MID(D28,3,1)))</f>
        <v>1</v>
      </c>
      <c r="BX28" s="27"/>
      <c r="BY28" s="9">
        <f>IF(OR(F28="-",F28=""),0,_xlfn.NUMBERVALUE(MID(F28,3,1)))</f>
        <v>1</v>
      </c>
      <c r="BZ28" s="9">
        <f>IF(OR(G28="-",G28=""),0,_xlfn.NUMBERVALUE(MID(G28,3,1)))</f>
        <v>1</v>
      </c>
      <c r="CA28" s="9">
        <f>IF(OR(H28="-",H28=""),0,_xlfn.NUMBERVALUE(MID(H28,3,1)))</f>
        <v>1</v>
      </c>
      <c r="CB28" s="10">
        <f>IF(OR(I28="-",I28=""),0,_xlfn.NUMBERVALUE(MID(I28,3,1)))</f>
        <v>0</v>
      </c>
      <c r="CD28" s="4" t="s">
        <v>86</v>
      </c>
      <c r="CE28" s="5" t="str">
        <f t="shared" ref="CE28:CJ28" si="302">D26</f>
        <v>Pologne</v>
      </c>
      <c r="CF28" s="6" t="str">
        <f t="shared" si="302"/>
        <v>Allemagne</v>
      </c>
      <c r="CG28" s="6" t="str">
        <f t="shared" si="302"/>
        <v>Écosse</v>
      </c>
      <c r="CH28" s="6" t="str">
        <f t="shared" si="302"/>
        <v>Irlande</v>
      </c>
      <c r="CI28" s="6" t="str">
        <f t="shared" si="302"/>
        <v>Géorgie</v>
      </c>
      <c r="CJ28" s="7" t="str">
        <f t="shared" si="302"/>
        <v>Gibraltar</v>
      </c>
      <c r="CL28" s="11" t="str">
        <f t="shared" si="282"/>
        <v>Allemagne</v>
      </c>
      <c r="CM28" s="9">
        <f t="shared" ref="CM28" si="303">-CN27</f>
        <v>0</v>
      </c>
      <c r="CN28" s="27"/>
      <c r="CO28" s="37">
        <f t="shared" ref="CO28" si="304">X28+AD29-(W29+AE28)</f>
        <v>6</v>
      </c>
      <c r="CP28" s="37">
        <f t="shared" ref="CP28" si="305">Y28+AD30-(W30+AF28)</f>
        <v>-3</v>
      </c>
      <c r="CQ28" s="37">
        <f t="shared" ref="CQ28" si="306">Z28+AD31-(W31+AG28)</f>
        <v>6</v>
      </c>
      <c r="CR28" s="41">
        <f t="shared" ref="CR28" si="307">AA28+AD32-(W32+AH28)</f>
        <v>6</v>
      </c>
      <c r="CT28" s="8" t="str">
        <f t="shared" si="288"/>
        <v>Allemagne</v>
      </c>
      <c r="CU28" s="51">
        <f>$DK28+0.01*CM28+0.0001*(BP28+BX27)+0.000001*BX27</f>
        <v>22.000299999999999</v>
      </c>
      <c r="CV28" s="47"/>
      <c r="CW28" s="51">
        <f>$DK28+0.01*CO28+0.0001*(BR28+BX29)+0.000001*BX29</f>
        <v>22.060502999999997</v>
      </c>
      <c r="CX28" s="51">
        <f>$DK28+0.01*CP28+0.0001*(BS28+BX30)+0.000001*BX30</f>
        <v>21.970099999999999</v>
      </c>
      <c r="CY28" s="51">
        <f>$DK28+0.01*CQ28+0.0001*(BT28+BX31)+0.000001*BX31</f>
        <v>22.060401999999996</v>
      </c>
      <c r="CZ28" s="52">
        <f>$DK28+0.01*CR28+0.0001*(BU28+BX32)+0.000001*BX32</f>
        <v>22.061107</v>
      </c>
      <c r="DB28" s="61" t="str">
        <f t="shared" si="289"/>
        <v>Allemagne</v>
      </c>
      <c r="DC28" s="3" t="str">
        <f t="shared" ref="DC28" si="308">IF(CZ28&gt;=CV32,CT28,CT32)</f>
        <v>Allemagne</v>
      </c>
      <c r="DD28" s="3" t="str">
        <f t="shared" ref="DD28" si="309">IF(CY28&gt;=CV31,CT28,CT31)</f>
        <v>Allemagne</v>
      </c>
      <c r="DE28" s="3" t="str">
        <f t="shared" ref="DE28" si="310">IF(CX28&gt;=CV30,CT28,CT30)</f>
        <v>Allemagne</v>
      </c>
      <c r="DF28" s="3" t="str">
        <f t="shared" ref="DF28" si="311">IF(CW28&gt;=CV29,CT28,CT29)</f>
        <v>Allemagne</v>
      </c>
      <c r="DJ28" s="63" t="str">
        <f t="shared" si="295"/>
        <v>Allemagne</v>
      </c>
      <c r="DK28" s="66">
        <f t="shared" ref="DK28" si="312">AL29</f>
        <v>22</v>
      </c>
      <c r="DL28" s="73">
        <f>COUNTIF(DC27:DG31,C28)</f>
        <v>5</v>
      </c>
      <c r="DM28" s="11" t="str">
        <f t="shared" si="297"/>
        <v>Allemagne</v>
      </c>
      <c r="DO28" s="11">
        <v>2</v>
      </c>
      <c r="DP28" s="69" t="str">
        <f>VLOOKUP(4,DL27:DM32,2,FALSE)</f>
        <v>Pologne</v>
      </c>
      <c r="DQ28" s="11">
        <v>2</v>
      </c>
      <c r="DR28" s="11">
        <f t="shared" ref="DR28" si="313">VLOOKUP(DP28,U27:AB32,8,FALSE)</f>
        <v>1</v>
      </c>
    </row>
    <row r="29" spans="2:242" ht="15.75" customHeight="1" thickBot="1" x14ac:dyDescent="0.3">
      <c r="B29" s="563"/>
      <c r="C29" s="302" t="s">
        <v>49</v>
      </c>
      <c r="D29" s="177" t="s">
        <v>26</v>
      </c>
      <c r="E29" s="178" t="s">
        <v>158</v>
      </c>
      <c r="F29" s="165"/>
      <c r="G29" s="178" t="s">
        <v>40</v>
      </c>
      <c r="H29" s="178" t="s">
        <v>40</v>
      </c>
      <c r="I29" s="179" t="s">
        <v>157</v>
      </c>
      <c r="K29" s="555"/>
      <c r="L29" s="282" t="s">
        <v>81</v>
      </c>
      <c r="M29" s="204" t="s">
        <v>24</v>
      </c>
      <c r="N29" s="205" t="s">
        <v>29</v>
      </c>
      <c r="O29" s="165"/>
      <c r="P29" s="205" t="s">
        <v>32</v>
      </c>
      <c r="Q29" s="205" t="s">
        <v>23</v>
      </c>
      <c r="R29" s="323" t="s">
        <v>163</v>
      </c>
      <c r="U29" s="11" t="str">
        <f t="shared" si="269"/>
        <v>Écosse</v>
      </c>
      <c r="V29" s="12">
        <f>IF(OR(D29="-",D29=""),0,IF(MID(D29,1,1)&gt;MID(D29,3,1),3,        IF(MID(D29,1,1)=MID(D29,3,1),1,         IF(MID(D29,1,1)&lt;MID(D29,3,1),0)        )))</f>
        <v>1</v>
      </c>
      <c r="W29" s="13">
        <f>IF(OR(E29="-",E29=""),0,IF(MID(E29,1,1)&gt;MID(E29,3,1),3,        IF(MID(E29,1,1)=MID(E29,3,1),1,         IF(MID(E29,1,1)&lt;MID(E29,3,1),0)        )))</f>
        <v>0</v>
      </c>
      <c r="X29" s="27"/>
      <c r="Y29" s="13">
        <f>IF(OR(G29="-",G29=""),0,IF(MID(G29,1,1)&gt;MID(G29,3,1),3,        IF(MID(G29,1,1)=MID(G29,3,1),1,         IF(MID(G29,1,1)&lt;MID(G29,3,1),0)        )))</f>
        <v>3</v>
      </c>
      <c r="Z29" s="13">
        <f>IF(OR(H29="-",H29=""),0,IF(MID(H29,1,1)&gt;MID(H29,3,1),3,        IF(MID(H29,1,1)=MID(H29,3,1),1,         IF(MID(H29,1,1)&lt;MID(H29,3,1),0)        )))</f>
        <v>3</v>
      </c>
      <c r="AA29" s="14">
        <f>IF(OR(I29="-",I29=""),0,IF(MID(I29,1,1)&gt;MID(I29,3,1),3,        IF(MID(I29,1,1)=MID(I29,3,1),1,         IF(MID(I29,1,1)&lt;MID(I29,3,1),0)        )))</f>
        <v>3</v>
      </c>
      <c r="AB29" s="3">
        <v>3</v>
      </c>
      <c r="AC29" s="22">
        <f>IF(OR(D29="-",D29=""),0,IF(MID(D29,3,1)&gt;MID(D29,1,1),3,        IF(MID(D29,3,1)=MID(D29,1,1),1,         IF(MID(D29,3,1)&lt;MID(D29,1,1),0)        )))</f>
        <v>1</v>
      </c>
      <c r="AD29" s="13">
        <f>IF(OR(E29="-",E29=""),0,IF(MID(E29,3,1)&gt;MID(E29,1,1),3,        IF(MID(E29,3,1)=MID(E29,1,1),1,         IF(MID(E29,3,1)&lt;MID(E29,1,1),0)        )))</f>
        <v>3</v>
      </c>
      <c r="AE29" s="27"/>
      <c r="AF29" s="13">
        <f>IF(OR(G29="-",G29=""),0,IF(MID(G29,3,1)&gt;MID(G29,1,1),3,        IF(MID(G29,3,1)=MID(G29,1,1),1,         IF(MID(G29,3,1)&lt;MID(G29,1,1),0)        )))</f>
        <v>0</v>
      </c>
      <c r="AG29" s="13">
        <f>IF(OR(H29="-",H29=""),0,IF(MID(H29,3,1)&gt;MID(H29,1,1),3,        IF(MID(H29,3,1)=MID(H29,1,1),1,         IF(MID(H29,3,1)&lt;MID(H29,1,1),0)        )))</f>
        <v>0</v>
      </c>
      <c r="AH29" s="14">
        <f>IF(OR(I29="-",I29=""),0,IF(MID(I29,3,1)&gt;MID(I29,1,1),3,        IF(MID(I29,3,1)=MID(I29,1,1),1,         IF(MID(I29,3,1)&lt;MID(I29,1,1),0)        )))</f>
        <v>0</v>
      </c>
      <c r="AI29" s="36"/>
      <c r="AJ29" s="77"/>
      <c r="AK29" s="23">
        <f t="shared" ref="AK29" si="314">SUM(W27:AA27,AC28:AC32)</f>
        <v>21</v>
      </c>
      <c r="AL29" s="17">
        <f t="shared" ref="AL29" si="315">SUM(V28,X28:AA28,AD27,AD29:AD32)</f>
        <v>22</v>
      </c>
      <c r="AM29" s="17">
        <f t="shared" ref="AM29" si="316">SUM(V29:W29,Y29:AA29,AE27:AE28,AE30:AE32)</f>
        <v>15</v>
      </c>
      <c r="AN29" s="17">
        <f t="shared" ref="AN29" si="317">SUM(V30:X30,Z30:AA30,AF27:AF29,AF31:AF32)</f>
        <v>18</v>
      </c>
      <c r="AO29" s="17">
        <f t="shared" ref="AO29" si="318">SUM(V31:Y31,AA31,AG27:AG30,AG32)</f>
        <v>9</v>
      </c>
      <c r="AP29" s="24">
        <f t="shared" ref="AP29" si="319">SUM(V32:Z32,AH27:AH31)</f>
        <v>0</v>
      </c>
      <c r="AQ29" s="18"/>
      <c r="AR29" s="11" t="str">
        <f t="shared" si="270"/>
        <v>Écosse</v>
      </c>
      <c r="AS29" s="12">
        <f t="shared" si="300"/>
        <v>0</v>
      </c>
      <c r="AT29" s="12">
        <f t="shared" ref="AT29:AT32" si="320">BQ29-BX29</f>
        <v>-1</v>
      </c>
      <c r="AU29" s="80"/>
      <c r="AV29" s="12">
        <f t="shared" si="273"/>
        <v>1</v>
      </c>
      <c r="AW29" s="12">
        <f t="shared" si="274"/>
        <v>1</v>
      </c>
      <c r="AX29" s="69">
        <f t="shared" si="275"/>
        <v>5</v>
      </c>
      <c r="AY29" s="45"/>
      <c r="AZ29" s="22">
        <f t="shared" si="301"/>
        <v>0</v>
      </c>
      <c r="BA29" s="13">
        <f t="shared" ref="BA29:BA32" si="321">BX29-BQ29</f>
        <v>1</v>
      </c>
      <c r="BB29" s="27"/>
      <c r="BC29" s="13">
        <f t="shared" si="278"/>
        <v>-1</v>
      </c>
      <c r="BD29" s="13">
        <f t="shared" si="279"/>
        <v>-1</v>
      </c>
      <c r="BE29" s="14">
        <f t="shared" si="280"/>
        <v>-5</v>
      </c>
      <c r="BF29" s="77"/>
      <c r="BG29" s="4" t="s">
        <v>86</v>
      </c>
      <c r="BH29" s="5" t="str">
        <f t="shared" ref="BH29:BM29" si="322">D26</f>
        <v>Pologne</v>
      </c>
      <c r="BI29" s="5" t="str">
        <f t="shared" si="322"/>
        <v>Allemagne</v>
      </c>
      <c r="BJ29" s="5" t="str">
        <f t="shared" si="322"/>
        <v>Écosse</v>
      </c>
      <c r="BK29" s="5" t="str">
        <f t="shared" si="322"/>
        <v>Irlande</v>
      </c>
      <c r="BL29" s="5" t="str">
        <f t="shared" si="322"/>
        <v>Géorgie</v>
      </c>
      <c r="BM29" s="76" t="str">
        <f t="shared" si="322"/>
        <v>Gibraltar</v>
      </c>
      <c r="BO29" s="11" t="str">
        <f t="shared" si="281"/>
        <v>Écosse</v>
      </c>
      <c r="BP29" s="12">
        <f>IF(OR(D29="-",D29=""),0,_xlfn.NUMBERVALUE(MID(D29,1,1)))</f>
        <v>2</v>
      </c>
      <c r="BQ29" s="13">
        <f>IF(OR(E29="-",E29=""),0,_xlfn.NUMBERVALUE(MID(E29,1,1)))</f>
        <v>2</v>
      </c>
      <c r="BR29" s="27"/>
      <c r="BS29" s="13">
        <f>IF(OR(G29="-",G29=""),0,_xlfn.NUMBERVALUE(MID(G29,1,1)))</f>
        <v>1</v>
      </c>
      <c r="BT29" s="13">
        <f>IF(OR(H29="-",H29=""),0,_xlfn.NUMBERVALUE(MID(H29,1,1)))</f>
        <v>1</v>
      </c>
      <c r="BU29" s="14">
        <f>IF(OR(I29="-",I29=""),0,_xlfn.NUMBERVALUE(MID(I29,1,1)))</f>
        <v>6</v>
      </c>
      <c r="BV29" s="18"/>
      <c r="BW29" s="31">
        <f>IF(OR(D29="-",D29=""),0,_xlfn.NUMBERVALUE(MID(D29,3,1)))</f>
        <v>2</v>
      </c>
      <c r="BX29" s="9">
        <f>IF(OR(E29="-",E29=""),0,_xlfn.NUMBERVALUE(MID(E29,3,1)))</f>
        <v>3</v>
      </c>
      <c r="BY29" s="27"/>
      <c r="BZ29" s="9">
        <f>IF(OR(G29="-",G29=""),0,_xlfn.NUMBERVALUE(MID(G29,3,1)))</f>
        <v>0</v>
      </c>
      <c r="CA29" s="9">
        <f>IF(OR(H29="-",H29=""),0,_xlfn.NUMBERVALUE(MID(H29,3,1)))</f>
        <v>0</v>
      </c>
      <c r="CB29" s="10">
        <f>IF(OR(I29="-",I29=""),0,_xlfn.NUMBERVALUE(MID(I29,3,1)))</f>
        <v>1</v>
      </c>
      <c r="CD29" s="8" t="s">
        <v>91</v>
      </c>
      <c r="CE29" s="39">
        <f t="shared" ref="CE29" si="323">SUM(BQ27:BU27)</f>
        <v>18</v>
      </c>
      <c r="CF29" s="9">
        <f>SUM(BP28,BR28:BU28)</f>
        <v>12</v>
      </c>
      <c r="CG29" s="9">
        <f>SUM(BP29:BQ29,BS29:BU29)</f>
        <v>12</v>
      </c>
      <c r="CH29" s="9">
        <f>SUM(BP30:BR30,BT30:BU30)</f>
        <v>11</v>
      </c>
      <c r="CI29" s="9">
        <f>SUM(BP31:BS31,BU31)</f>
        <v>6</v>
      </c>
      <c r="CJ29" s="10">
        <f t="shared" ref="CJ29" si="324">SUM(BP32:BT32)</f>
        <v>0</v>
      </c>
      <c r="CL29" s="11" t="str">
        <f t="shared" si="282"/>
        <v>Écosse</v>
      </c>
      <c r="CM29" s="12">
        <f t="shared" ref="CM29" si="325">-CO27</f>
        <v>0</v>
      </c>
      <c r="CN29" s="13">
        <f t="shared" ref="CN29" si="326">-CO28</f>
        <v>-6</v>
      </c>
      <c r="CO29" s="27"/>
      <c r="CP29" s="37">
        <f t="shared" ref="CP29" si="327">Y29+AE30-(X30+AF29)</f>
        <v>3</v>
      </c>
      <c r="CQ29" s="37">
        <f t="shared" ref="CQ29" si="328">Z29+AE31-(X31+AG29)</f>
        <v>0</v>
      </c>
      <c r="CR29" s="41">
        <f t="shared" ref="CR29" si="329">AA29+AE32-(X32+AH29)</f>
        <v>6</v>
      </c>
      <c r="CT29" s="8" t="str">
        <f t="shared" si="288"/>
        <v>Écosse</v>
      </c>
      <c r="CU29" s="51">
        <f>$DK29+0.01*CM29+0.0001*(BP29+BY27)+0.000001*BY27</f>
        <v>15.000402000000001</v>
      </c>
      <c r="CV29" s="51">
        <f>$DK29+0.01*CN29+0.0001*(BQ29+BY28)+0.000001*BY28</f>
        <v>14.940300999999998</v>
      </c>
      <c r="CW29" s="47"/>
      <c r="CX29" s="51">
        <f>$DK29+0.01*CP29+0.0001*(BS29+BY30)+0.000001*BY30</f>
        <v>15.030200999999998</v>
      </c>
      <c r="CY29" s="51">
        <f>$DK29+0.01*CQ29+0.0001*(BT29+BY31)+0.000001*BY31</f>
        <v>15.0001</v>
      </c>
      <c r="CZ29" s="52">
        <f>$DK29+0.01*CR29+0.0001*(BU29+BY32)+0.000001*BY32</f>
        <v>15.061206000000002</v>
      </c>
      <c r="DB29" s="61" t="str">
        <f t="shared" si="289"/>
        <v>Écosse</v>
      </c>
      <c r="DC29" s="3" t="str">
        <f t="shared" ref="DC29" si="330">IF(CZ29&gt;=CW32,CT29,CT32)</f>
        <v>Écosse</v>
      </c>
      <c r="DD29" s="3" t="str">
        <f t="shared" ref="DD29" si="331">IF(CY29&gt;=CW31,CT29,CT31)</f>
        <v>Écosse</v>
      </c>
      <c r="DE29" s="3" t="str">
        <f t="shared" ref="DE29" si="332">IF(CX29&gt;=CW30,CT29,CT30)</f>
        <v>Irlande</v>
      </c>
      <c r="DJ29" s="63" t="str">
        <f t="shared" si="295"/>
        <v>Écosse</v>
      </c>
      <c r="DK29" s="66">
        <f t="shared" ref="DK29" si="333">AM29</f>
        <v>15</v>
      </c>
      <c r="DL29" s="73">
        <f>COUNTIF(DC27:DG31,C29)</f>
        <v>2</v>
      </c>
      <c r="DM29" s="11" t="str">
        <f t="shared" si="297"/>
        <v>Écosse</v>
      </c>
      <c r="DO29" s="11">
        <v>3</v>
      </c>
      <c r="DP29" s="69" t="str">
        <f>VLOOKUP(3,DL27:DM32,2,FALSE)</f>
        <v>Irlande</v>
      </c>
      <c r="DQ29" s="11">
        <v>3</v>
      </c>
      <c r="DR29" s="11">
        <f t="shared" ref="DR29" si="334">VLOOKUP(DP29,U27:AB32,8,FALSE)</f>
        <v>4</v>
      </c>
    </row>
    <row r="30" spans="2:242" ht="15.75" customHeight="1" thickBot="1" x14ac:dyDescent="0.3">
      <c r="B30" s="563"/>
      <c r="C30" s="302" t="s">
        <v>50</v>
      </c>
      <c r="D30" s="177" t="s">
        <v>24</v>
      </c>
      <c r="E30" s="178" t="s">
        <v>40</v>
      </c>
      <c r="F30" s="178" t="s">
        <v>24</v>
      </c>
      <c r="G30" s="165"/>
      <c r="H30" s="178" t="s">
        <v>40</v>
      </c>
      <c r="I30" s="179" t="s">
        <v>155</v>
      </c>
      <c r="K30" s="555"/>
      <c r="L30" s="282" t="s">
        <v>82</v>
      </c>
      <c r="M30" s="204" t="s">
        <v>27</v>
      </c>
      <c r="N30" s="205" t="s">
        <v>22</v>
      </c>
      <c r="O30" s="205" t="s">
        <v>12</v>
      </c>
      <c r="P30" s="165"/>
      <c r="Q30" s="205" t="s">
        <v>9</v>
      </c>
      <c r="R30" s="321" t="s">
        <v>24</v>
      </c>
      <c r="U30" s="11" t="str">
        <f t="shared" si="269"/>
        <v>Irlande</v>
      </c>
      <c r="V30" s="12">
        <f>IF(OR(D30="-",D30=""),0,IF(MID(D30,1,1)&gt;MID(D30,3,1),3,        IF(MID(D30,1,1)=MID(D30,3,1),1,         IF(MID(D30,1,1)&lt;MID(D30,3,1),0)        )))</f>
        <v>1</v>
      </c>
      <c r="W30" s="13">
        <f>IF(OR(E30="-",E30=""),0,IF(MID(E30,1,1)&gt;MID(E30,3,1),3,        IF(MID(E30,1,1)=MID(E30,3,1),1,         IF(MID(E30,1,1)&lt;MID(E30,3,1),0)        )))</f>
        <v>3</v>
      </c>
      <c r="X30" s="13">
        <f>IF(OR(F30="-",F30=""),0,IF(MID(F30,1,1)&gt;MID(F30,3,1),3,        IF(MID(F30,1,1)=MID(F30,3,1),1,         IF(MID(F30,1,1)&lt;MID(F30,3,1),0)        )))</f>
        <v>1</v>
      </c>
      <c r="Y30" s="27"/>
      <c r="Z30" s="13">
        <f>IF(OR(H30="-",H30=""),0,IF(MID(H30,1,1)&gt;MID(H30,3,1),3,        IF(MID(H30,1,1)=MID(H30,3,1),1,         IF(MID(H30,1,1)&lt;MID(H30,3,1),0)        )))</f>
        <v>3</v>
      </c>
      <c r="AA30" s="14">
        <f>IF(OR(I30="-",I30=""),0,IF(MID(I30,1,1)&gt;MID(I30,3,1),3,        IF(MID(I30,1,1)=MID(I30,3,1),1,         IF(MID(I30,1,1)&lt;MID(I30,3,1),0)        )))</f>
        <v>3</v>
      </c>
      <c r="AB30" s="3">
        <v>4</v>
      </c>
      <c r="AC30" s="22">
        <f>IF(OR(D30="-",D30=""),0,IF(MID(D30,3,1)&gt;MID(D30,1,1),3,        IF(MID(D30,3,1)=MID(D30,1,1),1,         IF(MID(D30,3,1)&lt;MID(D30,1,1),0)        )))</f>
        <v>1</v>
      </c>
      <c r="AD30" s="13">
        <f>IF(OR(E30="-",E30=""),0,IF(MID(E30,3,1)&gt;MID(E30,1,1),3,        IF(MID(E30,3,1)=MID(E30,1,1),1,         IF(MID(E30,3,1)&lt;MID(E30,1,1),0)        )))</f>
        <v>0</v>
      </c>
      <c r="AE30" s="13">
        <f>IF(OR(F30="-",F30=""),0,IF(MID(F30,3,1)&gt;MID(F30,1,1),3,        IF(MID(F30,3,1)=MID(F30,1,1),1,         IF(MID(F30,3,1)&lt;MID(F30,1,1),0)        )))</f>
        <v>1</v>
      </c>
      <c r="AF30" s="27"/>
      <c r="AG30" s="13">
        <f>IF(OR(H30="-",H30=""),0,IF(MID(H30,3,1)&gt;MID(H30,1,1),3,        IF(MID(H30,3,1)=MID(H30,1,1),1,         IF(MID(H30,3,1)&lt;MID(H30,1,1),0)        )))</f>
        <v>0</v>
      </c>
      <c r="AH30" s="14">
        <f>IF(OR(I30="-",I30=""),0,IF(MID(I30,3,1)&gt;MID(I30,1,1),3,        IF(MID(I30,3,1)=MID(I30,1,1),1,         IF(MID(I30,3,1)&lt;MID(I30,1,1),0)        )))</f>
        <v>0</v>
      </c>
      <c r="AI30" s="77"/>
      <c r="AJ30" s="77"/>
      <c r="AK30" s="45"/>
      <c r="AL30" s="45"/>
      <c r="AM30" s="45"/>
      <c r="AN30" s="45"/>
      <c r="AO30" s="45"/>
      <c r="AP30" s="45"/>
      <c r="AQ30" s="18"/>
      <c r="AR30" s="11" t="str">
        <f t="shared" si="270"/>
        <v>Irlande</v>
      </c>
      <c r="AS30" s="12">
        <f t="shared" si="300"/>
        <v>0</v>
      </c>
      <c r="AT30" s="12">
        <f t="shared" si="320"/>
        <v>1</v>
      </c>
      <c r="AU30" s="12">
        <f t="shared" ref="AU30:AU32" si="335">BR30-BY30</f>
        <v>0</v>
      </c>
      <c r="AV30" s="80"/>
      <c r="AW30" s="12">
        <f t="shared" si="274"/>
        <v>1</v>
      </c>
      <c r="AX30" s="69">
        <f t="shared" si="275"/>
        <v>7</v>
      </c>
      <c r="AY30" s="45"/>
      <c r="AZ30" s="22">
        <f t="shared" si="301"/>
        <v>0</v>
      </c>
      <c r="BA30" s="13">
        <f t="shared" si="321"/>
        <v>-1</v>
      </c>
      <c r="BB30" s="13">
        <f t="shared" ref="BB30:BB32" si="336">BY30-BR30</f>
        <v>0</v>
      </c>
      <c r="BC30" s="27"/>
      <c r="BD30" s="13">
        <f t="shared" si="279"/>
        <v>-1</v>
      </c>
      <c r="BE30" s="14">
        <f t="shared" si="280"/>
        <v>-7</v>
      </c>
      <c r="BF30" s="77"/>
      <c r="BG30" s="19" t="s">
        <v>91</v>
      </c>
      <c r="BH30" s="87">
        <f t="shared" ref="BH30" si="337">SUM(AT27:AX27,AZ28:AZ32)</f>
        <v>23</v>
      </c>
      <c r="BI30" s="32">
        <f t="shared" ref="BI30" si="338">SUM(AS28,AU28:AX28,BA27,BA29:BA32)</f>
        <v>15</v>
      </c>
      <c r="BJ30" s="32">
        <f t="shared" ref="BJ30" si="339">SUM(AS29:AT29,AV29:AX29,BB27:BB28,BB30:BB32)</f>
        <v>10</v>
      </c>
      <c r="BK30" s="32">
        <f t="shared" ref="BK30" si="340">SUM(AS30:AU30,AW30:AX30,BC27:BC29,BC31:BC32)</f>
        <v>12</v>
      </c>
      <c r="BL30" s="32">
        <f t="shared" ref="BL30" si="341">SUM(AS31:AV31,AX31,BD27:BD30,BD32)</f>
        <v>-6</v>
      </c>
      <c r="BM30" s="33">
        <f t="shared" ref="BM30" si="342">SUM(AS32:AW32,BE27:BE31)</f>
        <v>-54</v>
      </c>
      <c r="BO30" s="11" t="str">
        <f t="shared" si="281"/>
        <v>Irlande</v>
      </c>
      <c r="BP30" s="12">
        <f>IF(OR(D30="-",D30=""),0,_xlfn.NUMBERVALUE(MID(D30,1,1)))</f>
        <v>1</v>
      </c>
      <c r="BQ30" s="13">
        <f>IF(OR(E30="-",E30=""),0,_xlfn.NUMBERVALUE(MID(E30,1,1)))</f>
        <v>1</v>
      </c>
      <c r="BR30" s="13">
        <f>IF(OR(F30="-",F30=""),0,_xlfn.NUMBERVALUE(MID(F30,1,1)))</f>
        <v>1</v>
      </c>
      <c r="BS30" s="27"/>
      <c r="BT30" s="13">
        <f>IF(OR(H30="-",H30=""),0,_xlfn.NUMBERVALUE(MID(H30,1,1)))</f>
        <v>1</v>
      </c>
      <c r="BU30" s="14">
        <f>IF(OR(I30="-",I30=""),0,_xlfn.NUMBERVALUE(MID(I30,1,1)))</f>
        <v>7</v>
      </c>
      <c r="BV30" s="18"/>
      <c r="BW30" s="31">
        <f>IF(OR(D30="-",D30=""),0,_xlfn.NUMBERVALUE(MID(D30,3,1)))</f>
        <v>1</v>
      </c>
      <c r="BX30" s="9">
        <f>IF(OR(E30="-",E30=""),0,_xlfn.NUMBERVALUE(MID(E30,3,1)))</f>
        <v>0</v>
      </c>
      <c r="BY30" s="9">
        <f>IF(OR(F30="-",F30=""),0,_xlfn.NUMBERVALUE(MID(F30,3,1)))</f>
        <v>1</v>
      </c>
      <c r="BZ30" s="27"/>
      <c r="CA30" s="9">
        <f>IF(OR(H30="-",H30=""),0,_xlfn.NUMBERVALUE(MID(H30,3,1)))</f>
        <v>0</v>
      </c>
      <c r="CB30" s="10">
        <f>IF(OR(I30="-",I30=""),0,_xlfn.NUMBERVALUE(MID(I30,3,1)))</f>
        <v>0</v>
      </c>
      <c r="CD30" s="11" t="s">
        <v>92</v>
      </c>
      <c r="CE30" s="12">
        <f t="shared" ref="CE30" si="343">SUM(BW28:BW32)</f>
        <v>15</v>
      </c>
      <c r="CF30" s="13">
        <f>SUM(BX27,BX29:BX32)</f>
        <v>12</v>
      </c>
      <c r="CG30" s="13">
        <f>SUM(BY27:BY28,BY30:BY32)</f>
        <v>10</v>
      </c>
      <c r="CH30" s="13">
        <f>SUM(BZ27:BZ29,BZ31:BZ32)</f>
        <v>8</v>
      </c>
      <c r="CI30" s="13">
        <f>SUM(CA27:CA30,CA32)</f>
        <v>4</v>
      </c>
      <c r="CJ30" s="14">
        <f t="shared" ref="CJ30" si="344">SUM(CB27:CB31)</f>
        <v>2</v>
      </c>
      <c r="CL30" s="11" t="str">
        <f t="shared" si="282"/>
        <v>Irlande</v>
      </c>
      <c r="CM30" s="12">
        <f t="shared" ref="CM30" si="345">-CP27</f>
        <v>-3</v>
      </c>
      <c r="CN30" s="13">
        <f t="shared" ref="CN30" si="346">-CP28</f>
        <v>3</v>
      </c>
      <c r="CO30" s="37">
        <f t="shared" ref="CO30" si="347">-CP29</f>
        <v>-3</v>
      </c>
      <c r="CP30" s="27"/>
      <c r="CQ30" s="37">
        <f t="shared" ref="CQ30" si="348">Z30+AF31-(Y31+AG30)</f>
        <v>6</v>
      </c>
      <c r="CR30" s="41">
        <f t="shared" ref="CR30" si="349">AA30+AF32-(Y32+AH30)</f>
        <v>6</v>
      </c>
      <c r="CT30" s="8" t="str">
        <f t="shared" si="288"/>
        <v>Irlande</v>
      </c>
      <c r="CU30" s="51">
        <f>$DK30+0.01*CM30+0.0001*(BP30+BZ27)+0.000001*BZ27</f>
        <v>17.970200999999999</v>
      </c>
      <c r="CV30" s="51">
        <f>$DK30+0.01*CN30+0.0001*(BQ30+BZ28)+0.000001*BZ28</f>
        <v>18.030201000000002</v>
      </c>
      <c r="CW30" s="51">
        <f>$DK30+0.01*CO30+0.0001*(BR30+BZ29)+0.000001*BZ29</f>
        <v>17.970099999999999</v>
      </c>
      <c r="CX30" s="47"/>
      <c r="CY30" s="51">
        <f>$DK30+0.01*CQ30+0.0001*(BT30+BZ31)+0.000001*BZ31</f>
        <v>18.060301999999997</v>
      </c>
      <c r="CZ30" s="52">
        <f>$DK30+0.01*CR30+0.0001*(BU30+BZ32)+0.000001*BZ32</f>
        <v>18.061104</v>
      </c>
      <c r="DB30" s="61" t="str">
        <f t="shared" si="289"/>
        <v>Irlande</v>
      </c>
      <c r="DC30" s="3" t="str">
        <f t="shared" ref="DC30" si="350">IF(CZ30&gt;=CX32,CT30,CT32)</f>
        <v>Irlande</v>
      </c>
      <c r="DD30" s="3" t="str">
        <f t="shared" ref="DD30" si="351">IF(CY30&gt;=CX31,CT30,CT31)</f>
        <v>Irlande</v>
      </c>
      <c r="DJ30" s="63" t="str">
        <f t="shared" si="295"/>
        <v>Irlande</v>
      </c>
      <c r="DK30" s="66">
        <f t="shared" ref="DK30" si="352">AN29</f>
        <v>18</v>
      </c>
      <c r="DL30" s="73">
        <f>COUNTIF(DC27:DG31,C30)</f>
        <v>3</v>
      </c>
      <c r="DM30" s="11" t="str">
        <f t="shared" si="297"/>
        <v>Irlande</v>
      </c>
      <c r="DN30" s="45"/>
      <c r="DO30" s="11">
        <v>4</v>
      </c>
      <c r="DP30" s="69" t="str">
        <f>VLOOKUP(2,DL27:DM32,2,FALSE)</f>
        <v>Écosse</v>
      </c>
      <c r="DQ30" s="11">
        <v>4</v>
      </c>
      <c r="DR30" s="11">
        <f t="shared" ref="DR30" si="353">VLOOKUP(DP30,U27:AB32,8,FALSE)</f>
        <v>3</v>
      </c>
      <c r="DS30" s="45"/>
    </row>
    <row r="31" spans="2:242" ht="15.75" customHeight="1" thickBot="1" x14ac:dyDescent="0.3">
      <c r="B31" s="563"/>
      <c r="C31" s="302" t="s">
        <v>51</v>
      </c>
      <c r="D31" s="177" t="s">
        <v>28</v>
      </c>
      <c r="E31" s="178" t="s">
        <v>32</v>
      </c>
      <c r="F31" s="178" t="s">
        <v>40</v>
      </c>
      <c r="G31" s="178" t="s">
        <v>22</v>
      </c>
      <c r="H31" s="165"/>
      <c r="I31" s="179" t="s">
        <v>53</v>
      </c>
      <c r="K31" s="555"/>
      <c r="L31" s="282" t="s">
        <v>83</v>
      </c>
      <c r="M31" s="204" t="s">
        <v>13</v>
      </c>
      <c r="N31" s="205" t="s">
        <v>158</v>
      </c>
      <c r="O31" s="205" t="s">
        <v>12</v>
      </c>
      <c r="P31" s="205" t="s">
        <v>24</v>
      </c>
      <c r="Q31" s="165"/>
      <c r="R31" s="321" t="s">
        <v>12</v>
      </c>
      <c r="U31" s="11" t="str">
        <f t="shared" si="269"/>
        <v>Géorgie</v>
      </c>
      <c r="V31" s="12">
        <f>IF(OR(D31="-",D31=""),0,IF(MID(D31,1,1)&gt;MID(D31,3,1),3,        IF(MID(D31,1,1)=MID(D31,3,1),1,         IF(MID(D31,1,1)&lt;MID(D31,3,1),0)        )))</f>
        <v>0</v>
      </c>
      <c r="W31" s="13">
        <f>IF(OR(E31="-",E31=""),0,IF(MID(E31,1,1)&gt;MID(E31,3,1),3,        IF(MID(E31,1,1)=MID(E31,3,1),1,         IF(MID(E31,1,1)&lt;MID(E31,3,1),0)        )))</f>
        <v>0</v>
      </c>
      <c r="X31" s="13">
        <f>IF(OR(F31="-",F31=""),0,IF(MID(F31,1,1)&gt;MID(F31,3,1),3,        IF(MID(F31,1,1)=MID(F31,3,1),1,         IF(MID(F31,1,1)&lt;MID(F31,3,1),0)        )))</f>
        <v>3</v>
      </c>
      <c r="Y31" s="13">
        <f>IF(OR(G31="-",G31=""),0,IF(MID(G31,1,1)&gt;MID(G31,3,1),3,        IF(MID(G31,1,1)=MID(G31,3,1),1,         IF(MID(G31,1,1)&lt;MID(G31,3,1),0)        )))</f>
        <v>0</v>
      </c>
      <c r="Z31" s="27"/>
      <c r="AA31" s="14">
        <f>IF(OR(I31="-",I31=""),0,IF(MID(I31,1,1)&gt;MID(I31,3,1),3,        IF(MID(I31,1,1)=MID(I31,3,1),1,         IF(MID(I31,1,1)&lt;MID(I31,3,1),0)        )))</f>
        <v>3</v>
      </c>
      <c r="AB31" s="3">
        <v>5</v>
      </c>
      <c r="AC31" s="22">
        <f>IF(OR(D31="-",D31=""),0,IF(MID(D31,3,1)&gt;MID(D31,1,1),3,        IF(MID(D31,3,1)=MID(D31,1,1),1,         IF(MID(D31,3,1)&lt;MID(D31,1,1),0)        )))</f>
        <v>3</v>
      </c>
      <c r="AD31" s="13">
        <f>IF(OR(E31="-",E31=""),0,IF(MID(E31,3,1)&gt;MID(E31,1,1),3,        IF(MID(E31,3,1)=MID(E31,1,1),1,         IF(MID(E31,3,1)&lt;MID(E31,1,1),0)        )))</f>
        <v>3</v>
      </c>
      <c r="AE31" s="13">
        <f>IF(OR(F31="-",F31=""),0,IF(MID(F31,3,1)&gt;MID(F31,1,1),3,        IF(MID(F31,3,1)=MID(F31,1,1),1,         IF(MID(F31,3,1)&lt;MID(F31,1,1),0)        )))</f>
        <v>0</v>
      </c>
      <c r="AF31" s="13">
        <f>IF(OR(G31="-",G31=""),0,IF(MID(G31,3,1)&gt;MID(G31,1,1),3,        IF(MID(G31,3,1)=MID(G31,1,1),1,         IF(MID(G31,3,1)&lt;MID(G31,1,1),0)        )))</f>
        <v>3</v>
      </c>
      <c r="AG31" s="27"/>
      <c r="AH31" s="14">
        <f>IF(OR(I31="-",I31=""),0,IF(MID(I31,3,1)&gt;MID(I31,1,1),3,        IF(MID(I31,3,1)=MID(I31,1,1),1,         IF(MID(I31,3,1)&lt;MID(I31,1,1),0)        )))</f>
        <v>0</v>
      </c>
      <c r="AI31" s="36"/>
      <c r="AJ31" s="77"/>
      <c r="AR31" s="11" t="str">
        <f t="shared" si="270"/>
        <v>Géorgie</v>
      </c>
      <c r="AS31" s="12">
        <f t="shared" si="300"/>
        <v>-4</v>
      </c>
      <c r="AT31" s="12">
        <f t="shared" si="320"/>
        <v>-2</v>
      </c>
      <c r="AU31" s="12">
        <f t="shared" si="335"/>
        <v>1</v>
      </c>
      <c r="AV31" s="12">
        <f t="shared" ref="AV31:AV32" si="354">BS31-BZ31</f>
        <v>-1</v>
      </c>
      <c r="AW31" s="80"/>
      <c r="AX31" s="69">
        <f t="shared" si="275"/>
        <v>4</v>
      </c>
      <c r="AY31" s="45"/>
      <c r="AZ31" s="22">
        <f t="shared" si="301"/>
        <v>4</v>
      </c>
      <c r="BA31" s="13">
        <f t="shared" si="321"/>
        <v>2</v>
      </c>
      <c r="BB31" s="13">
        <f t="shared" si="336"/>
        <v>-1</v>
      </c>
      <c r="BC31" s="13">
        <f t="shared" ref="BC31:BC32" si="355">BZ31-BS31</f>
        <v>1</v>
      </c>
      <c r="BD31" s="27"/>
      <c r="BE31" s="14">
        <f t="shared" si="280"/>
        <v>-4</v>
      </c>
      <c r="BF31" s="77"/>
      <c r="BG31" s="45"/>
      <c r="BH31" s="45"/>
      <c r="BI31" s="45"/>
      <c r="BJ31" s="45"/>
      <c r="BK31" s="45"/>
      <c r="BL31" s="45"/>
      <c r="BM31" s="45"/>
      <c r="BO31" s="11" t="str">
        <f t="shared" si="281"/>
        <v>Géorgie</v>
      </c>
      <c r="BP31" s="12">
        <f>IF(OR(D31="-",D31=""),0,_xlfn.NUMBERVALUE(MID(D31,1,1)))</f>
        <v>0</v>
      </c>
      <c r="BQ31" s="13">
        <f>IF(OR(E31="-",E31=""),0,_xlfn.NUMBERVALUE(MID(E31,1,1)))</f>
        <v>0</v>
      </c>
      <c r="BR31" s="13">
        <f>IF(OR(F31="-",F31=""),0,_xlfn.NUMBERVALUE(MID(F31,1,1)))</f>
        <v>1</v>
      </c>
      <c r="BS31" s="13">
        <f>IF(OR(G31="-",G31=""),0,_xlfn.NUMBERVALUE(MID(G31,1,1)))</f>
        <v>1</v>
      </c>
      <c r="BT31" s="27"/>
      <c r="BU31" s="14">
        <f>IF(OR(I31="-",I31=""),0,_xlfn.NUMBERVALUE(MID(I31,1,1)))</f>
        <v>4</v>
      </c>
      <c r="BV31" s="18"/>
      <c r="BW31" s="31">
        <f>IF(OR(D31="-",D31=""),0,_xlfn.NUMBERVALUE(MID(D31,3,1)))</f>
        <v>4</v>
      </c>
      <c r="BX31" s="9">
        <f>IF(OR(E31="-",E31=""),0,_xlfn.NUMBERVALUE(MID(E31,3,1)))</f>
        <v>2</v>
      </c>
      <c r="BY31" s="9">
        <f>IF(OR(F31="-",F31=""),0,_xlfn.NUMBERVALUE(MID(F31,3,1)))</f>
        <v>0</v>
      </c>
      <c r="BZ31" s="9">
        <f>IF(OR(G31="-",G31=""),0,_xlfn.NUMBERVALUE(MID(G31,3,1)))</f>
        <v>2</v>
      </c>
      <c r="CA31" s="27"/>
      <c r="CB31" s="10">
        <f>IF(OR(I31="-",I31=""),0,_xlfn.NUMBERVALUE(MID(I31,3,1)))</f>
        <v>0</v>
      </c>
      <c r="CD31" s="15" t="s">
        <v>93</v>
      </c>
      <c r="CE31" s="16">
        <f t="shared" ref="CE31" si="356">SUM(CE29,CE30)</f>
        <v>33</v>
      </c>
      <c r="CF31" s="17">
        <f t="shared" ref="CF31" si="357">SUM(CF29,CF30)</f>
        <v>24</v>
      </c>
      <c r="CG31" s="17">
        <f t="shared" ref="CG31" si="358">SUM(CG29,CG30)</f>
        <v>22</v>
      </c>
      <c r="CH31" s="17">
        <f t="shared" ref="CH31" si="359">SUM(CH29,CH30)</f>
        <v>19</v>
      </c>
      <c r="CI31" s="17">
        <f t="shared" ref="CI31" si="360">SUM(CI29,CI30)</f>
        <v>10</v>
      </c>
      <c r="CJ31" s="24">
        <f t="shared" ref="CJ31" si="361">SUM(CJ29,CJ30)</f>
        <v>2</v>
      </c>
      <c r="CL31" s="11" t="str">
        <f t="shared" si="282"/>
        <v>Géorgie</v>
      </c>
      <c r="CM31" s="12">
        <f t="shared" ref="CM31" si="362">-CQ27</f>
        <v>-6</v>
      </c>
      <c r="CN31" s="37">
        <f t="shared" ref="CN31" si="363">-CQ28</f>
        <v>-6</v>
      </c>
      <c r="CO31" s="37">
        <f t="shared" ref="CO31" si="364">-CQ29</f>
        <v>0</v>
      </c>
      <c r="CP31" s="37">
        <f t="shared" ref="CP31" si="365">-CQ30</f>
        <v>-6</v>
      </c>
      <c r="CQ31" s="27"/>
      <c r="CR31" s="41">
        <f t="shared" ref="CR31" si="366">AA31+AG32-(Z32+AH31)</f>
        <v>6</v>
      </c>
      <c r="CT31" s="8" t="str">
        <f t="shared" si="288"/>
        <v>Géorgie</v>
      </c>
      <c r="CU31" s="51">
        <f>$DK31+0.01*CM31+0.0001*(BP31+CA27)+0.000001*CA27</f>
        <v>8.94</v>
      </c>
      <c r="CV31" s="51">
        <f>$DK31+0.01*CN31+0.0001*(BQ31+CA28)+0.000001*CA28</f>
        <v>8.9401009999999985</v>
      </c>
      <c r="CW31" s="51">
        <f>$DK31+0.01*CO31+0.0001*(BR31+CA29)+0.000001*CA29</f>
        <v>9.0000999999999998</v>
      </c>
      <c r="CX31" s="51">
        <f>$DK31+0.01*CP31+0.0001*(BS31+CA30)+0.000001*CA30</f>
        <v>8.9400999999999993</v>
      </c>
      <c r="CY31" s="47"/>
      <c r="CZ31" s="52">
        <f>$DK31+0.01*CR31+0.0001*(BU31+CA32)+0.000001*CA32</f>
        <v>9.0607030000000002</v>
      </c>
      <c r="DB31" s="19" t="str">
        <f t="shared" si="289"/>
        <v>Géorgie</v>
      </c>
      <c r="DC31" s="3" t="str">
        <f t="shared" ref="DC31" si="367">IF(CZ31&gt;=CY32,CT31,CT32)</f>
        <v>Géorgie</v>
      </c>
      <c r="DJ31" s="63" t="str">
        <f t="shared" si="295"/>
        <v>Géorgie</v>
      </c>
      <c r="DK31" s="66">
        <f t="shared" ref="DK31" si="368">AO29</f>
        <v>9</v>
      </c>
      <c r="DL31" s="73">
        <f>COUNTIF(DC27:DG31,C31)</f>
        <v>1</v>
      </c>
      <c r="DM31" s="11" t="str">
        <f t="shared" si="297"/>
        <v>Géorgie</v>
      </c>
      <c r="DN31" s="45"/>
      <c r="DO31" s="11">
        <v>5</v>
      </c>
      <c r="DP31" s="69" t="str">
        <f>VLOOKUP(1,DL27:DM32,2,FALSE)</f>
        <v>Géorgie</v>
      </c>
      <c r="DQ31" s="11">
        <v>5</v>
      </c>
      <c r="DR31" s="11">
        <f t="shared" ref="DR31" si="369">VLOOKUP(DP31,U27:AB32,8,FALSE)</f>
        <v>5</v>
      </c>
      <c r="DS31" s="45"/>
    </row>
    <row r="32" spans="2:242" ht="15.75" customHeight="1" thickBot="1" x14ac:dyDescent="0.3">
      <c r="B32" s="564"/>
      <c r="C32" s="303" t="s">
        <v>52</v>
      </c>
      <c r="D32" s="180" t="s">
        <v>33</v>
      </c>
      <c r="E32" s="181" t="s">
        <v>33</v>
      </c>
      <c r="F32" s="181" t="s">
        <v>159</v>
      </c>
      <c r="G32" s="181" t="s">
        <v>28</v>
      </c>
      <c r="H32" s="181" t="s">
        <v>12</v>
      </c>
      <c r="I32" s="164"/>
      <c r="K32" s="556"/>
      <c r="L32" s="283" t="s">
        <v>95</v>
      </c>
      <c r="M32" s="322" t="s">
        <v>163</v>
      </c>
      <c r="N32" s="320" t="s">
        <v>23</v>
      </c>
      <c r="O32" s="320" t="s">
        <v>24</v>
      </c>
      <c r="P32" s="320" t="s">
        <v>163</v>
      </c>
      <c r="Q32" s="320" t="s">
        <v>163</v>
      </c>
      <c r="R32" s="164"/>
      <c r="U32" s="15" t="str">
        <f t="shared" si="269"/>
        <v>Gibraltar</v>
      </c>
      <c r="V32" s="16">
        <f>IF(OR(D32="-",D32=""),0,IF(MID(D32,1,1)&gt;MID(D32,3,1),3,        IF(MID(D32,1,1)=MID(D32,3,1),1,         IF(MID(D32,1,1)&lt;MID(D32,3,1),0)        )))</f>
        <v>0</v>
      </c>
      <c r="W32" s="17">
        <f>IF(OR(E32="-",E32=""),0,IF(MID(E32,1,1)&gt;MID(E32,3,1),3,        IF(MID(E32,1,1)=MID(E32,3,1),1,         IF(MID(E32,1,1)&lt;MID(E32,3,1),0)        )))</f>
        <v>0</v>
      </c>
      <c r="X32" s="17">
        <f>IF(OR(F32="-",F32=""),0,IF(MID(F32,1,1)&gt;MID(F32,3,1),3,        IF(MID(F32,1,1)=MID(F32,3,1),1,         IF(MID(F32,1,1)&lt;MID(F32,3,1),0)        )))</f>
        <v>0</v>
      </c>
      <c r="Y32" s="17">
        <f>IF(OR(G32="-",G32=""),0,IF(MID(G32,1,1)&gt;MID(G32,3,1),3,        IF(MID(G32,1,1)=MID(G32,3,1),1,         IF(MID(G32,1,1)&lt;MID(G32,3,1),0)        )))</f>
        <v>0</v>
      </c>
      <c r="Z32" s="17">
        <f>IF(OR(H32="-",H32=""),0,IF(MID(H32,1,1)&gt;MID(H32,3,1),3,        IF(MID(H32,1,1)=MID(H32,3,1),1,         IF(MID(H32,1,1)&lt;MID(H32,3,1),0)        )))</f>
        <v>0</v>
      </c>
      <c r="AA32" s="28"/>
      <c r="AB32" s="3">
        <v>6</v>
      </c>
      <c r="AC32" s="23">
        <f>IF(OR(D32="-",D32=""),0,IF(MID(D32,3,1)&gt;MID(D32,1,1),3,        IF(MID(D32,3,1)=MID(D32,1,1),1,         IF(MID(D32,3,1)&lt;MID(D32,1,1),0)        )))</f>
        <v>3</v>
      </c>
      <c r="AD32" s="17">
        <f>IF(OR(E32="-",E32=""),0,IF(MID(E32,3,1)&gt;MID(E32,1,1),3,        IF(MID(E32,3,1)=MID(E32,1,1),1,         IF(MID(E32,3,1)&lt;MID(E32,1,1),0)        )))</f>
        <v>3</v>
      </c>
      <c r="AE32" s="17">
        <f>IF(OR(F32="-",F32=""),0,IF(MID(F32,3,1)&gt;MID(F32,1,1),3,        IF(MID(F32,3,1)=MID(F32,1,1),1,         IF(MID(F32,3,1)&lt;MID(F32,1,1),0)        )))</f>
        <v>3</v>
      </c>
      <c r="AF32" s="17">
        <f>IF(OR(G32="-",G32=""),0,IF(MID(G32,3,1)&gt;MID(G32,1,1),3,        IF(MID(G32,3,1)=MID(G32,1,1),1,         IF(MID(G32,3,1)&lt;MID(G32,1,1),0)        )))</f>
        <v>3</v>
      </c>
      <c r="AG32" s="17">
        <f>IF(OR(H32="-",H32=""),0,IF(MID(H32,3,1)&gt;MID(H32,1,1),3,        IF(MID(H32,3,1)=MID(H32,1,1),1,         IF(MID(H32,3,1)&lt;MID(H32,1,1),0)        )))</f>
        <v>3</v>
      </c>
      <c r="AH32" s="28"/>
      <c r="AI32" s="36"/>
      <c r="AJ32" s="77"/>
      <c r="AR32" s="15" t="str">
        <f t="shared" si="270"/>
        <v>Gibraltar</v>
      </c>
      <c r="AS32" s="16">
        <f t="shared" si="300"/>
        <v>-7</v>
      </c>
      <c r="AT32" s="16">
        <f t="shared" si="320"/>
        <v>-7</v>
      </c>
      <c r="AU32" s="16">
        <f t="shared" si="335"/>
        <v>-6</v>
      </c>
      <c r="AV32" s="16">
        <f t="shared" si="354"/>
        <v>-4</v>
      </c>
      <c r="AW32" s="16">
        <f t="shared" ref="AW32" si="370">BT32-CA32</f>
        <v>-3</v>
      </c>
      <c r="AX32" s="82"/>
      <c r="AY32" s="45"/>
      <c r="AZ32" s="23">
        <f t="shared" si="301"/>
        <v>7</v>
      </c>
      <c r="BA32" s="17">
        <f t="shared" si="321"/>
        <v>7</v>
      </c>
      <c r="BB32" s="17">
        <f t="shared" si="336"/>
        <v>6</v>
      </c>
      <c r="BC32" s="17">
        <f t="shared" si="355"/>
        <v>4</v>
      </c>
      <c r="BD32" s="17">
        <f t="shared" ref="BD32" si="371">CA32-BT32</f>
        <v>3</v>
      </c>
      <c r="BE32" s="28"/>
      <c r="BF32" s="77"/>
      <c r="BG32" s="77"/>
      <c r="BI32" s="77"/>
      <c r="BK32" s="77"/>
      <c r="BM32" s="77"/>
      <c r="BO32" s="15" t="str">
        <f t="shared" si="281"/>
        <v>Gibraltar</v>
      </c>
      <c r="BP32" s="16">
        <f>IF(OR(D32="-",D32=""),0,_xlfn.NUMBERVALUE(MID(D32,1,1)))</f>
        <v>0</v>
      </c>
      <c r="BQ32" s="17">
        <f>IF(OR(E32="-",E32=""),0,_xlfn.NUMBERVALUE(MID(E32,1,1)))</f>
        <v>0</v>
      </c>
      <c r="BR32" s="17">
        <f>IF(OR(F32="-",F32=""),0,_xlfn.NUMBERVALUE(MID(F32,1,1)))</f>
        <v>0</v>
      </c>
      <c r="BS32" s="17">
        <f>IF(OR(G32="-",G32=""),0,_xlfn.NUMBERVALUE(MID(G32,1,1)))</f>
        <v>0</v>
      </c>
      <c r="BT32" s="17">
        <f>IF(OR(H32="-",H32=""),0,_xlfn.NUMBERVALUE(MID(H32,1,1)))</f>
        <v>0</v>
      </c>
      <c r="BU32" s="28"/>
      <c r="BV32" s="18"/>
      <c r="BW32" s="34">
        <f>IF(OR(D32="-",D32=""),0,_xlfn.NUMBERVALUE(MID(D32,3,1)))</f>
        <v>7</v>
      </c>
      <c r="BX32" s="32">
        <f>IF(OR(E32="-",E32=""),0,_xlfn.NUMBERVALUE(MID(E32,3,1)))</f>
        <v>7</v>
      </c>
      <c r="BY32" s="32">
        <f>IF(OR(F32="-",F32=""),0,_xlfn.NUMBERVALUE(MID(F32,3,1)))</f>
        <v>6</v>
      </c>
      <c r="BZ32" s="32">
        <f>IF(OR(G32="-",G32=""),0,_xlfn.NUMBERVALUE(MID(G32,3,1)))</f>
        <v>4</v>
      </c>
      <c r="CA32" s="32">
        <f>IF(OR(H32="-",H32=""),0,_xlfn.NUMBERVALUE(MID(H32,3,1)))</f>
        <v>3</v>
      </c>
      <c r="CB32" s="28"/>
      <c r="CL32" s="15" t="str">
        <f t="shared" si="282"/>
        <v>Gibraltar</v>
      </c>
      <c r="CM32" s="16">
        <f t="shared" ref="CM32" si="372">-CR27</f>
        <v>-6</v>
      </c>
      <c r="CN32" s="17">
        <f t="shared" ref="CN32" si="373">-CR28</f>
        <v>-6</v>
      </c>
      <c r="CO32" s="17">
        <f t="shared" ref="CO32" si="374">-CR29</f>
        <v>-6</v>
      </c>
      <c r="CP32" s="17">
        <f t="shared" ref="CP32" si="375">-CR30</f>
        <v>-6</v>
      </c>
      <c r="CQ32" s="17">
        <f t="shared" ref="CQ32" si="376">-CR31</f>
        <v>-6</v>
      </c>
      <c r="CR32" s="28"/>
      <c r="CT32" s="8" t="str">
        <f t="shared" si="288"/>
        <v>Gibraltar</v>
      </c>
      <c r="CU32" s="51">
        <f>$DK32+0.01*CM32+0.0001*(BP32+CB27)+0.000001*CB27</f>
        <v>-5.9898999999999994E-2</v>
      </c>
      <c r="CV32" s="51">
        <f>$DK32+0.01*CN32+0.0001*(BQ32+CB28)+0.000001*CB28</f>
        <v>-0.06</v>
      </c>
      <c r="CW32" s="51">
        <f>$DK32+0.01*CO32+0.0001*(BR32+CB29)+0.000001*CB29</f>
        <v>-5.9898999999999994E-2</v>
      </c>
      <c r="CX32" s="51">
        <f>$DK32+0.01*CP32+0.0001*(BS32+CB30)+0.000001*CB30</f>
        <v>-0.06</v>
      </c>
      <c r="CY32" s="51">
        <f>$DK32+0.01*CQ32+0.0001*(BT32+CB31)+0.000001*CB31</f>
        <v>-0.06</v>
      </c>
      <c r="CZ32" s="55"/>
      <c r="DJ32" s="64" t="str">
        <f t="shared" si="295"/>
        <v>Gibraltar</v>
      </c>
      <c r="DK32" s="67">
        <f t="shared" ref="DK32" si="377">AP29</f>
        <v>0</v>
      </c>
      <c r="DL32" s="74">
        <f>COUNTIF(DC27:DG31,C32)</f>
        <v>0</v>
      </c>
      <c r="DM32" s="15" t="str">
        <f t="shared" si="297"/>
        <v>Gibraltar</v>
      </c>
      <c r="DN32" s="45"/>
      <c r="DO32" s="15">
        <v>6</v>
      </c>
      <c r="DP32" s="70" t="str">
        <f>VLOOKUP(0,DL27:DM32,2,FALSE)</f>
        <v>Gibraltar</v>
      </c>
      <c r="DQ32" s="15">
        <v>6</v>
      </c>
      <c r="DR32" s="15">
        <f t="shared" ref="DR32" si="378">VLOOKUP(DP32,U27:AB32,8,FALSE)</f>
        <v>6</v>
      </c>
      <c r="DS32" s="45"/>
    </row>
    <row r="33" spans="2:123" ht="15.75" customHeight="1" thickBot="1" x14ac:dyDescent="0.3">
      <c r="B33" s="565" t="s">
        <v>4</v>
      </c>
      <c r="C33" s="304" t="s">
        <v>20</v>
      </c>
      <c r="D33" s="264" t="str">
        <f t="shared" ref="D33" si="379">C34</f>
        <v>Angleterre</v>
      </c>
      <c r="E33" s="265" t="str">
        <f t="shared" ref="E33" si="380">C35</f>
        <v>Slovénie</v>
      </c>
      <c r="F33" s="265" t="str">
        <f t="shared" ref="F33" si="381">C36</f>
        <v>Lituanie</v>
      </c>
      <c r="G33" s="265" t="str">
        <f t="shared" ref="G33" si="382">C37</f>
        <v>Suisse</v>
      </c>
      <c r="H33" s="265" t="str">
        <f t="shared" ref="H33" si="383">C38</f>
        <v>Estonie</v>
      </c>
      <c r="I33" s="266" t="str">
        <f t="shared" ref="I33" si="384">C39</f>
        <v>Saint-Marrin</v>
      </c>
      <c r="T33" s="45"/>
      <c r="U33" s="45"/>
      <c r="V33" s="18"/>
      <c r="W33" s="18"/>
      <c r="X33" s="18"/>
      <c r="Y33" s="18"/>
      <c r="Z33" s="18"/>
      <c r="AA33" s="18"/>
      <c r="AC33" s="30" t="str">
        <f t="shared" ref="AC33:AH33" si="385">D33</f>
        <v>Angleterre</v>
      </c>
      <c r="AD33" s="6" t="str">
        <f t="shared" si="385"/>
        <v>Slovénie</v>
      </c>
      <c r="AE33" s="6" t="str">
        <f t="shared" si="385"/>
        <v>Lituanie</v>
      </c>
      <c r="AF33" s="6" t="str">
        <f t="shared" si="385"/>
        <v>Suisse</v>
      </c>
      <c r="AG33" s="6" t="str">
        <f t="shared" si="385"/>
        <v>Estonie</v>
      </c>
      <c r="AH33" s="7" t="str">
        <f t="shared" si="385"/>
        <v>Saint-Marrin</v>
      </c>
      <c r="AI33" s="36"/>
      <c r="AJ33" s="45"/>
      <c r="AQ33" s="45"/>
      <c r="AR33" s="45"/>
      <c r="AS33" s="45"/>
      <c r="AT33" s="45"/>
      <c r="AU33" s="45"/>
      <c r="AV33" s="45"/>
      <c r="AW33" s="45"/>
      <c r="AX33" s="45"/>
      <c r="AY33" s="45"/>
      <c r="AZ33" s="83" t="str">
        <f t="shared" ref="AZ33:BE33" si="386">D33</f>
        <v>Angleterre</v>
      </c>
      <c r="BA33" s="84" t="str">
        <f t="shared" si="386"/>
        <v>Slovénie</v>
      </c>
      <c r="BB33" s="84" t="str">
        <f t="shared" si="386"/>
        <v>Lituanie</v>
      </c>
      <c r="BC33" s="84" t="str">
        <f t="shared" si="386"/>
        <v>Suisse</v>
      </c>
      <c r="BD33" s="84" t="str">
        <f t="shared" si="386"/>
        <v>Estonie</v>
      </c>
      <c r="BE33" s="85" t="str">
        <f t="shared" si="386"/>
        <v>Saint-Marrin</v>
      </c>
      <c r="BF33" s="77"/>
      <c r="BG33" s="77"/>
      <c r="BI33" s="77"/>
      <c r="BK33" s="77"/>
      <c r="BM33" s="77"/>
      <c r="BO33" s="35"/>
      <c r="BP33" s="18"/>
      <c r="BQ33" s="18"/>
      <c r="BR33" s="18"/>
      <c r="BS33" s="18"/>
      <c r="BT33" s="18"/>
      <c r="BU33" s="18"/>
      <c r="BV33" s="18"/>
      <c r="BW33" s="30" t="str">
        <f t="shared" ref="BW33:CB33" si="387">D33</f>
        <v>Angleterre</v>
      </c>
      <c r="BX33" s="6" t="str">
        <f t="shared" si="387"/>
        <v>Slovénie</v>
      </c>
      <c r="BY33" s="6" t="str">
        <f t="shared" si="387"/>
        <v>Lituanie</v>
      </c>
      <c r="BZ33" s="6" t="str">
        <f t="shared" si="387"/>
        <v>Suisse</v>
      </c>
      <c r="CA33" s="6" t="str">
        <f t="shared" si="387"/>
        <v>Estonie</v>
      </c>
      <c r="CB33" s="7" t="str">
        <f t="shared" si="387"/>
        <v>Saint-Marrin</v>
      </c>
      <c r="CL33" s="35"/>
      <c r="CM33" s="30" t="str">
        <f t="shared" ref="CM33:CR33" si="388">D33</f>
        <v>Angleterre</v>
      </c>
      <c r="CN33" s="6" t="str">
        <f t="shared" si="388"/>
        <v>Slovénie</v>
      </c>
      <c r="CO33" s="6" t="str">
        <f t="shared" si="388"/>
        <v>Lituanie</v>
      </c>
      <c r="CP33" s="6" t="str">
        <f t="shared" si="388"/>
        <v>Suisse</v>
      </c>
      <c r="CQ33" s="6" t="str">
        <f t="shared" si="388"/>
        <v>Estonie</v>
      </c>
      <c r="CR33" s="7" t="str">
        <f t="shared" si="388"/>
        <v>Saint-Marrin</v>
      </c>
      <c r="CT33" s="49"/>
      <c r="CU33" s="30" t="str">
        <f t="shared" ref="CU33:CZ33" si="389">D33</f>
        <v>Angleterre</v>
      </c>
      <c r="CV33" s="6" t="str">
        <f t="shared" si="389"/>
        <v>Slovénie</v>
      </c>
      <c r="CW33" s="6" t="str">
        <f t="shared" si="389"/>
        <v>Lituanie</v>
      </c>
      <c r="CX33" s="6" t="str">
        <f t="shared" si="389"/>
        <v>Suisse</v>
      </c>
      <c r="CY33" s="6" t="str">
        <f t="shared" si="389"/>
        <v>Estonie</v>
      </c>
      <c r="CZ33" s="7" t="str">
        <f t="shared" si="389"/>
        <v>Saint-Marrin</v>
      </c>
      <c r="DC33" s="56" t="str">
        <f t="shared" ref="DC33" si="390">CZ33</f>
        <v>Saint-Marrin</v>
      </c>
      <c r="DD33" s="57" t="str">
        <f t="shared" ref="DD33" si="391">CY33</f>
        <v>Estonie</v>
      </c>
      <c r="DE33" s="57" t="str">
        <f t="shared" ref="DE33" si="392">CX33</f>
        <v>Suisse</v>
      </c>
      <c r="DF33" s="57" t="str">
        <f t="shared" ref="DF33" si="393">CW33</f>
        <v>Lituanie</v>
      </c>
      <c r="DG33" s="58" t="str">
        <f t="shared" ref="DG33" si="394">CV33</f>
        <v>Slovénie</v>
      </c>
      <c r="DJ33" s="43"/>
      <c r="DK33" s="43"/>
      <c r="DM33" s="45"/>
      <c r="DN33" s="45"/>
      <c r="DS33" s="45"/>
    </row>
    <row r="34" spans="2:123" ht="15.75" customHeight="1" thickBot="1" x14ac:dyDescent="0.3">
      <c r="B34" s="566"/>
      <c r="C34" s="305" t="s">
        <v>54</v>
      </c>
      <c r="D34" s="166"/>
      <c r="E34" s="182" t="s">
        <v>25</v>
      </c>
      <c r="F34" s="182" t="s">
        <v>53</v>
      </c>
      <c r="G34" s="182" t="s">
        <v>9</v>
      </c>
      <c r="H34" s="182" t="s">
        <v>9</v>
      </c>
      <c r="I34" s="183" t="s">
        <v>60</v>
      </c>
      <c r="U34" s="25" t="str">
        <f t="shared" ref="U34:U39" si="395">C34</f>
        <v>Angleterre</v>
      </c>
      <c r="V34" s="26"/>
      <c r="W34" s="20">
        <f>IF(OR(E34="-",E34=""),0,IF(MID(E34,1,1)&gt;MID(E34,3,1),3,        IF(MID(E34,1,1)=MID(E34,3,1),1,         IF(MID(E34,1,1)&lt;MID(E34,3,1),0)        )))</f>
        <v>3</v>
      </c>
      <c r="X34" s="20">
        <f>IF(OR(F34="-",F34=""),0,IF(MID(F34,1,1)&gt;MID(F34,3,1),3,        IF(MID(F34,1,1)=MID(F34,3,1),1,         IF(MID(F34,1,1)&lt;MID(F34,3,1),0)        )))</f>
        <v>3</v>
      </c>
      <c r="Y34" s="20">
        <f>IF(OR(G34="-",G34=""),0,IF(MID(G34,1,1)&gt;MID(G34,3,1),3,        IF(MID(G34,1,1)=MID(G34,3,1),1,         IF(MID(G34,1,1)&lt;MID(G34,3,1),0)        )))</f>
        <v>3</v>
      </c>
      <c r="Z34" s="20">
        <f>IF(OR(H34="-",H34=""),0,IF(MID(H34,1,1)&gt;MID(H34,3,1),3,        IF(MID(H34,1,1)=MID(H34,3,1),1,         IF(MID(H34,1,1)&lt;MID(H34,3,1),0)        )))</f>
        <v>3</v>
      </c>
      <c r="AA34" s="21">
        <f>IF(OR(I34="-",I34=""),0,IF(MID(I34,1,1)&gt;MID(I34,3,1),3,        IF(MID(I34,1,1)=MID(I34,3,1),1,         IF(MID(I34,1,1)&lt;MID(I34,3,1),0)        )))</f>
        <v>3</v>
      </c>
      <c r="AB34" s="3">
        <v>1</v>
      </c>
      <c r="AC34" s="29"/>
      <c r="AD34" s="9">
        <f>IF(OR(E34="-",E34=""),0,IF(MID(E34,3,1)&gt;MID(E34,1,1),3,        IF(MID(E34,3,1)=MID(E34,1,1),1,         IF(MID(E34,3,1)&lt;MID(E34,1,1),0)        )))</f>
        <v>0</v>
      </c>
      <c r="AE34" s="9">
        <f>IF(OR(F34="-",F34=""),0,IF(MID(F34,3,1)&gt;MID(F34,1,1),3,        IF(MID(F34,3,1)=MID(F34,1,1),1,         IF(MID(F34,3,1)&lt;MID(F34,1,1),0)        )))</f>
        <v>0</v>
      </c>
      <c r="AF34" s="9">
        <f>IF(OR(G34="-",G34=""),0,IF(MID(G34,3,1)&gt;MID(G34,1,1),3,        IF(MID(G34,3,1)=MID(G34,1,1),1,         IF(MID(G34,3,1)&lt;MID(G34,1,1),0)        )))</f>
        <v>0</v>
      </c>
      <c r="AG34" s="9">
        <f>IF(OR(H34="-",H34=""),0,IF(MID(H34,3,1)&gt;MID(H34,1,1),3,        IF(MID(H34,3,1)=MID(H34,1,1),1,         IF(MID(H34,3,1)&lt;MID(H34,1,1),0)        )))</f>
        <v>0</v>
      </c>
      <c r="AH34" s="10">
        <f>IF(OR(I34="-",I34=""),0,IF(MID(I34,3,1)&gt;MID(I34,1,1),3,        IF(MID(I34,3,1)=MID(I34,1,1),1,         IF(MID(I34,3,1)&lt;MID(I34,1,1),0)        )))</f>
        <v>0</v>
      </c>
      <c r="AI34" s="36"/>
      <c r="AJ34" s="45"/>
      <c r="AK34" s="525" t="s">
        <v>94</v>
      </c>
      <c r="AL34" s="526"/>
      <c r="AM34" s="526"/>
      <c r="AN34" s="526"/>
      <c r="AO34" s="526"/>
      <c r="AP34" s="527"/>
      <c r="AQ34" s="18"/>
      <c r="AR34" s="25" t="str">
        <f t="shared" ref="AR34:AR39" si="396">C34</f>
        <v>Angleterre</v>
      </c>
      <c r="AS34" s="26"/>
      <c r="AT34" s="81">
        <f t="shared" ref="AT34" si="397">BQ34-BX34</f>
        <v>2</v>
      </c>
      <c r="AU34" s="81">
        <f t="shared" ref="AU34:AU35" si="398">BR34-BY34</f>
        <v>4</v>
      </c>
      <c r="AV34" s="81">
        <f t="shared" ref="AV34:AV36" si="399">BS34-BZ34</f>
        <v>2</v>
      </c>
      <c r="AW34" s="81">
        <f t="shared" ref="AW34:AW37" si="400">BT34-CA34</f>
        <v>2</v>
      </c>
      <c r="AX34" s="68">
        <f t="shared" ref="AX34:AX38" si="401">BU34-CB34</f>
        <v>5</v>
      </c>
      <c r="AY34" s="45"/>
      <c r="AZ34" s="86"/>
      <c r="BA34" s="20">
        <f t="shared" ref="BA34" si="402">BX34-BQ34</f>
        <v>-2</v>
      </c>
      <c r="BB34" s="20">
        <f t="shared" ref="BB34:BB35" si="403">BY34-BR34</f>
        <v>-4</v>
      </c>
      <c r="BC34" s="20">
        <f t="shared" ref="BC34:BC36" si="404">BZ34-BS34</f>
        <v>-2</v>
      </c>
      <c r="BD34" s="20">
        <f t="shared" ref="BD34:BD37" si="405">CA34-BT34</f>
        <v>-2</v>
      </c>
      <c r="BE34" s="21">
        <f t="shared" ref="BE34:BE38" si="406">CB34-BU34</f>
        <v>-5</v>
      </c>
      <c r="BF34" s="77"/>
      <c r="BO34" s="25" t="str">
        <f t="shared" ref="BO34:BO39" si="407">C34</f>
        <v>Angleterre</v>
      </c>
      <c r="BP34" s="26"/>
      <c r="BQ34" s="20">
        <f>IF(OR(E34="-",E34=""),0,_xlfn.NUMBERVALUE(MID(E34,1,1)))</f>
        <v>3</v>
      </c>
      <c r="BR34" s="20">
        <f>IF(OR(F34="-",F34=""),0,_xlfn.NUMBERVALUE(MID(F34,1,1)))</f>
        <v>4</v>
      </c>
      <c r="BS34" s="20">
        <f>IF(OR(G34="-",G34=""),0,_xlfn.NUMBERVALUE(MID(G34,1,1)))</f>
        <v>2</v>
      </c>
      <c r="BT34" s="20">
        <f>IF(OR(H34="-",H34=""),0,_xlfn.NUMBERVALUE(MID(H34,1,1)))</f>
        <v>2</v>
      </c>
      <c r="BU34" s="21">
        <f>IF(OR(I34="-",I34=""),0,_xlfn.NUMBERVALUE(MID(I34,1,1)))</f>
        <v>5</v>
      </c>
      <c r="BV34" s="18"/>
      <c r="BW34" s="29"/>
      <c r="BX34" s="9">
        <f>IF(OR(E34="-",E34=""),0,_xlfn.NUMBERVALUE(MID(E34,3,1)))</f>
        <v>1</v>
      </c>
      <c r="BY34" s="9">
        <f>IF(OR(F34="-",F34=""),0,_xlfn.NUMBERVALUE(MID(F34,3,1)))</f>
        <v>0</v>
      </c>
      <c r="BZ34" s="9">
        <f>IF(OR(G34="-",G34=""),0,_xlfn.NUMBERVALUE(MID(G34,3,1)))</f>
        <v>0</v>
      </c>
      <c r="CA34" s="9">
        <f>IF(OR(H34="-",H34=""),0,_xlfn.NUMBERVALUE(MID(H34,3,1)))</f>
        <v>0</v>
      </c>
      <c r="CB34" s="10">
        <f>IF(OR(I34="-",I34=""),0,_xlfn.NUMBERVALUE(MID(I34,3,1)))</f>
        <v>0</v>
      </c>
      <c r="CE34" s="528" t="s">
        <v>90</v>
      </c>
      <c r="CF34" s="529"/>
      <c r="CG34" s="529"/>
      <c r="CH34" s="529"/>
      <c r="CI34" s="529"/>
      <c r="CJ34" s="530"/>
      <c r="CL34" s="25" t="str">
        <f t="shared" ref="CL34:CL39" si="408">C34</f>
        <v>Angleterre</v>
      </c>
      <c r="CM34" s="46"/>
      <c r="CN34" s="9">
        <f t="shared" ref="CN34" si="409">W34+AC35-(V35+AD34)</f>
        <v>6</v>
      </c>
      <c r="CO34" s="9">
        <f t="shared" ref="CO34" si="410">X34+AC36-(V36+AE34)</f>
        <v>6</v>
      </c>
      <c r="CP34" s="9">
        <f t="shared" ref="CP34" si="411">Y34+AC37-(V37+AF34)</f>
        <v>6</v>
      </c>
      <c r="CQ34" s="9">
        <f t="shared" ref="CQ34" si="412">Z34+AC38-(V38+AG34)</f>
        <v>6</v>
      </c>
      <c r="CR34" s="10">
        <f t="shared" ref="CR34" si="413">AC39+AA34-(V39+AH34)</f>
        <v>6</v>
      </c>
      <c r="CT34" s="8" t="str">
        <f t="shared" ref="CT34:CT39" si="414">C34</f>
        <v>Angleterre</v>
      </c>
      <c r="CU34" s="47"/>
      <c r="CV34" s="51">
        <f>$DK34+0.01*CN34+0.0001*(BQ34+BW35)+0.000001*BW35</f>
        <v>30.060602999999997</v>
      </c>
      <c r="CW34" s="51">
        <f>$DK34+0.01*CO34+0.0001*(BR34+BW36)+0.000001*BW36</f>
        <v>30.060702999999997</v>
      </c>
      <c r="CX34" s="51">
        <f>$DK34+0.01*CP34+0.0001*(BS34+BW37)+0.000001*BW37</f>
        <v>30.060401999999996</v>
      </c>
      <c r="CY34" s="51">
        <f>$DK34+0.01*CQ34+0.0001*(BT34+BW38)+0.000001*BW38</f>
        <v>30.060300999999999</v>
      </c>
      <c r="CZ34" s="52">
        <f>$DK34+0.01*CR34+0.0001*(BU34+BW39)+0.000001*BW39</f>
        <v>30.061105999999999</v>
      </c>
      <c r="DB34" s="60" t="str">
        <f t="shared" ref="DB34:DB38" si="415">CT34</f>
        <v>Angleterre</v>
      </c>
      <c r="DC34" s="3" t="str">
        <f t="shared" ref="DC34" si="416">IF(CZ34&gt;=CU39,CT34,CT39)</f>
        <v>Angleterre</v>
      </c>
      <c r="DD34" s="3" t="str">
        <f t="shared" ref="DD34" si="417">IF(CY34&gt;=CU38,CT34,CT38)</f>
        <v>Angleterre</v>
      </c>
      <c r="DE34" s="3" t="str">
        <f t="shared" ref="DE34" si="418">IF(CX34&gt;=CU37,CT34,CT37)</f>
        <v>Angleterre</v>
      </c>
      <c r="DF34" s="3" t="str">
        <f t="shared" ref="DF34" si="419">IF(CW34&gt;=CU36,CT34,CT36)</f>
        <v>Angleterre</v>
      </c>
      <c r="DG34" s="3" t="str">
        <f t="shared" ref="DG34" si="420">IF(CV34&gt;=CU35,CT34,CT35)</f>
        <v>Angleterre</v>
      </c>
      <c r="DJ34" s="62" t="str">
        <f t="shared" ref="DJ34:DJ39" si="421">C34</f>
        <v>Angleterre</v>
      </c>
      <c r="DK34" s="65">
        <f t="shared" ref="DK34" si="422">AK36</f>
        <v>30</v>
      </c>
      <c r="DL34" s="72">
        <f>COUNTIF(DC34:DG38,C34)</f>
        <v>5</v>
      </c>
      <c r="DM34" s="25" t="str">
        <f t="shared" ref="DM34:DM39" si="423">C34</f>
        <v>Angleterre</v>
      </c>
      <c r="DN34" s="45"/>
      <c r="DO34" s="25">
        <v>1</v>
      </c>
      <c r="DP34" s="68" t="str">
        <f>VLOOKUP(5,DL34:DM39,2,FALSE)</f>
        <v>Angleterre</v>
      </c>
      <c r="DQ34" s="25">
        <v>1</v>
      </c>
      <c r="DR34" s="25">
        <f t="shared" ref="DR34" si="424">VLOOKUP(DP34,U34:AB39,8,FALSE)</f>
        <v>1</v>
      </c>
      <c r="DS34" s="45"/>
    </row>
    <row r="35" spans="2:123" ht="15.75" customHeight="1" thickBot="1" x14ac:dyDescent="0.3">
      <c r="B35" s="566"/>
      <c r="C35" s="306" t="s">
        <v>55</v>
      </c>
      <c r="D35" s="184" t="s">
        <v>158</v>
      </c>
      <c r="E35" s="165"/>
      <c r="F35" s="185" t="s">
        <v>24</v>
      </c>
      <c r="G35" s="185" t="s">
        <v>40</v>
      </c>
      <c r="H35" s="185" t="s">
        <v>40</v>
      </c>
      <c r="I35" s="186" t="s">
        <v>11</v>
      </c>
      <c r="U35" s="11" t="str">
        <f t="shared" si="395"/>
        <v>Slovénie</v>
      </c>
      <c r="V35" s="12">
        <f>IF(OR(D35="-",D35=""),0,IF(MID(D35,1,1)&gt;MID(D35,3,1),3,        IF(MID(D35,1,1)=MID(D35,3,1),1,         IF(MID(D35,1,1)&lt;MID(D35,3,1),0)        )))</f>
        <v>0</v>
      </c>
      <c r="W35" s="27"/>
      <c r="X35" s="13">
        <f>IF(OR(F35="-",F35=""),0,IF(MID(F35,1,1)&gt;MID(F35,3,1),3,        IF(MID(F35,1,1)=MID(F35,3,1),1,         IF(MID(F35,1,1)&lt;MID(F35,3,1),0)        )))</f>
        <v>1</v>
      </c>
      <c r="Y35" s="13">
        <f>IF(OR(G35="-",G35=""),0,IF(MID(G35,1,1)&gt;MID(G35,3,1),3,        IF(MID(G35,1,1)=MID(G35,3,1),1,         IF(MID(G35,1,1)&lt;MID(G35,3,1),0)        )))</f>
        <v>3</v>
      </c>
      <c r="Z35" s="13">
        <f>IF(OR(H35="-",H35=""),0,IF(MID(H35,1,1)&gt;MID(H35,3,1),3,        IF(MID(H35,1,1)=MID(H35,3,1),1,         IF(MID(H35,1,1)&lt;MID(H35,3,1),0)        )))</f>
        <v>3</v>
      </c>
      <c r="AA35" s="14">
        <f>IF(OR(I35="-",I35=""),0,IF(MID(I35,1,1)&gt;MID(I35,3,1),3,        IF(MID(I35,1,1)=MID(I35,3,1),1,         IF(MID(I35,1,1)&lt;MID(I35,3,1),0)        )))</f>
        <v>3</v>
      </c>
      <c r="AB35" s="3">
        <v>2</v>
      </c>
      <c r="AC35" s="22">
        <f>IF(OR(D35="-",D35=""),0,IF(MID(D35,3,1)&gt;MID(D35,1,1),3,        IF(MID(D35,3,1)=MID(D35,1,1),1,         IF(MID(D35,3,1)&lt;MID(D35,1,1),0)        )))</f>
        <v>3</v>
      </c>
      <c r="AD35" s="27"/>
      <c r="AE35" s="13">
        <f>IF(OR(F35="-",F35=""),0,IF(MID(F35,3,1)&gt;MID(F35,1,1),3,        IF(MID(F35,3,1)=MID(F35,1,1),1,         IF(MID(F35,3,1)&lt;MID(F35,1,1),0)        )))</f>
        <v>1</v>
      </c>
      <c r="AF35" s="13">
        <f>IF(OR(G35="-",G35=""),0,IF(MID(G35,3,1)&gt;MID(G35,1,1),3,        IF(MID(G35,3,1)=MID(G35,1,1),1,         IF(MID(G35,3,1)&lt;MID(G35,1,1),0)        )))</f>
        <v>0</v>
      </c>
      <c r="AG35" s="13">
        <f>IF(OR(H35="-",H35=""),0,IF(MID(H35,3,1)&gt;MID(H35,1,1),3,        IF(MID(H35,3,1)=MID(H35,1,1),1,         IF(MID(H35,3,1)&lt;MID(H35,1,1),0)        )))</f>
        <v>0</v>
      </c>
      <c r="AH35" s="14">
        <f>IF(OR(I35="-",I35=""),0,IF(MID(I35,3,1)&gt;MID(I35,1,1),3,        IF(MID(I35,3,1)=MID(I35,1,1),1,         IF(MID(I35,3,1)&lt;MID(I35,1,1),0)        )))</f>
        <v>0</v>
      </c>
      <c r="AI35" s="36"/>
      <c r="AJ35" s="77"/>
      <c r="AK35" s="31" t="str">
        <f t="shared" ref="AK35:AP35" si="425">D33</f>
        <v>Angleterre</v>
      </c>
      <c r="AL35" s="9" t="str">
        <f t="shared" si="425"/>
        <v>Slovénie</v>
      </c>
      <c r="AM35" s="9" t="str">
        <f t="shared" si="425"/>
        <v>Lituanie</v>
      </c>
      <c r="AN35" s="9" t="str">
        <f t="shared" si="425"/>
        <v>Suisse</v>
      </c>
      <c r="AO35" s="9" t="str">
        <f t="shared" si="425"/>
        <v>Estonie</v>
      </c>
      <c r="AP35" s="10" t="str">
        <f t="shared" si="425"/>
        <v>Saint-Marrin</v>
      </c>
      <c r="AQ35" s="18"/>
      <c r="AR35" s="11" t="str">
        <f t="shared" si="396"/>
        <v>Slovénie</v>
      </c>
      <c r="AS35" s="12">
        <f t="shared" ref="AS35:AS39" si="426">BP35-BW35</f>
        <v>-1</v>
      </c>
      <c r="AT35" s="80"/>
      <c r="AU35" s="12">
        <f t="shared" si="398"/>
        <v>0</v>
      </c>
      <c r="AV35" s="12">
        <f t="shared" si="399"/>
        <v>1</v>
      </c>
      <c r="AW35" s="12">
        <f t="shared" si="400"/>
        <v>1</v>
      </c>
      <c r="AX35" s="69">
        <f t="shared" si="401"/>
        <v>6</v>
      </c>
      <c r="AY35" s="45"/>
      <c r="AZ35" s="22">
        <f t="shared" ref="AZ35:AZ39" si="427">BW35-BP35</f>
        <v>1</v>
      </c>
      <c r="BA35" s="27"/>
      <c r="BB35" s="13">
        <f t="shared" si="403"/>
        <v>0</v>
      </c>
      <c r="BC35" s="13">
        <f t="shared" si="404"/>
        <v>-1</v>
      </c>
      <c r="BD35" s="13">
        <f t="shared" si="405"/>
        <v>-1</v>
      </c>
      <c r="BE35" s="14">
        <f t="shared" si="406"/>
        <v>-6</v>
      </c>
      <c r="BF35" s="77"/>
      <c r="BG35" s="3"/>
      <c r="BH35" s="528" t="s">
        <v>104</v>
      </c>
      <c r="BI35" s="529"/>
      <c r="BJ35" s="529"/>
      <c r="BK35" s="529"/>
      <c r="BL35" s="529"/>
      <c r="BM35" s="530"/>
      <c r="BO35" s="11" t="str">
        <f t="shared" si="407"/>
        <v>Slovénie</v>
      </c>
      <c r="BP35" s="12">
        <f>IF(OR(D35="-",D35=""),0,_xlfn.NUMBERVALUE(MID(D35,1,1)))</f>
        <v>2</v>
      </c>
      <c r="BQ35" s="27"/>
      <c r="BR35" s="13">
        <f>IF(OR(F35="-",F35=""),0,_xlfn.NUMBERVALUE(MID(F35,1,1)))</f>
        <v>1</v>
      </c>
      <c r="BS35" s="13">
        <f>IF(OR(G35="-",G35=""),0,_xlfn.NUMBERVALUE(MID(G35,1,1)))</f>
        <v>1</v>
      </c>
      <c r="BT35" s="13">
        <f>IF(OR(H35="-",H35=""),0,_xlfn.NUMBERVALUE(MID(H35,1,1)))</f>
        <v>1</v>
      </c>
      <c r="BU35" s="14">
        <f>IF(OR(I35="-",I35=""),0,_xlfn.NUMBERVALUE(MID(I35,1,1)))</f>
        <v>6</v>
      </c>
      <c r="BV35" s="18"/>
      <c r="BW35" s="31">
        <f>IF(OR(D35="-",D35=""),0,_xlfn.NUMBERVALUE(MID(D35,3,1)))</f>
        <v>3</v>
      </c>
      <c r="BX35" s="27"/>
      <c r="BY35" s="9">
        <f>IF(OR(F35="-",F35=""),0,_xlfn.NUMBERVALUE(MID(F35,3,1)))</f>
        <v>1</v>
      </c>
      <c r="BZ35" s="9">
        <f>IF(OR(G35="-",G35=""),0,_xlfn.NUMBERVALUE(MID(G35,3,1)))</f>
        <v>0</v>
      </c>
      <c r="CA35" s="9">
        <f>IF(OR(H35="-",H35=""),0,_xlfn.NUMBERVALUE(MID(H35,3,1)))</f>
        <v>0</v>
      </c>
      <c r="CB35" s="10">
        <f>IF(OR(I35="-",I35=""),0,_xlfn.NUMBERVALUE(MID(I35,3,1)))</f>
        <v>0</v>
      </c>
      <c r="CD35" s="4" t="s">
        <v>86</v>
      </c>
      <c r="CE35" s="5" t="str">
        <f t="shared" ref="CE35:CJ35" si="428">D33</f>
        <v>Angleterre</v>
      </c>
      <c r="CF35" s="6" t="str">
        <f t="shared" si="428"/>
        <v>Slovénie</v>
      </c>
      <c r="CG35" s="6" t="str">
        <f t="shared" si="428"/>
        <v>Lituanie</v>
      </c>
      <c r="CH35" s="6" t="str">
        <f t="shared" si="428"/>
        <v>Suisse</v>
      </c>
      <c r="CI35" s="6" t="str">
        <f t="shared" si="428"/>
        <v>Estonie</v>
      </c>
      <c r="CJ35" s="7" t="str">
        <f t="shared" si="428"/>
        <v>Saint-Marrin</v>
      </c>
      <c r="CL35" s="11" t="str">
        <f t="shared" si="408"/>
        <v>Slovénie</v>
      </c>
      <c r="CM35" s="9">
        <f t="shared" ref="CM35" si="429">-CN34</f>
        <v>-6</v>
      </c>
      <c r="CN35" s="27"/>
      <c r="CO35" s="37">
        <f t="shared" ref="CO35" si="430">X35+AD36-(W36+AE35)</f>
        <v>3</v>
      </c>
      <c r="CP35" s="37">
        <f t="shared" ref="CP35" si="431">Y35+AD37-(W37+AF35)</f>
        <v>0</v>
      </c>
      <c r="CQ35" s="37">
        <f t="shared" ref="CQ35" si="432">Z35+AD38-(W38+AG35)</f>
        <v>0</v>
      </c>
      <c r="CR35" s="41">
        <f t="shared" ref="CR35" si="433">AA35+AD39-(W39+AH35)</f>
        <v>6</v>
      </c>
      <c r="CT35" s="8" t="str">
        <f t="shared" si="414"/>
        <v>Slovénie</v>
      </c>
      <c r="CU35" s="51">
        <f>$DK35+0.01*CM35+0.0001*(BP35+BX34)+0.000001*BX34</f>
        <v>15.940300999999998</v>
      </c>
      <c r="CV35" s="47"/>
      <c r="CW35" s="51">
        <f>$DK35+0.01*CO35+0.0001*(BR35+BX36)+0.000001*BX36</f>
        <v>16.030301999999999</v>
      </c>
      <c r="CX35" s="51">
        <f>$DK35+0.01*CP35+0.0001*(BS35+BX37)+0.000001*BX37</f>
        <v>16.000301999999998</v>
      </c>
      <c r="CY35" s="51">
        <f>$DK35+0.01*CQ35+0.0001*(BT35+BX38)+0.000001*BX38</f>
        <v>16.0001</v>
      </c>
      <c r="CZ35" s="52">
        <f>$DK35+0.01*CR35+0.0001*(BU35+BX39)+0.000001*BX39</f>
        <v>16.060801999999999</v>
      </c>
      <c r="DB35" s="61" t="str">
        <f t="shared" si="415"/>
        <v>Slovénie</v>
      </c>
      <c r="DC35" s="3" t="str">
        <f t="shared" ref="DC35" si="434">IF(CZ35&gt;=CV39,CT35,CT39)</f>
        <v>Slovénie</v>
      </c>
      <c r="DD35" s="3" t="str">
        <f t="shared" ref="DD35" si="435">IF(CY35&gt;=CV38,CT35,CT38)</f>
        <v>Slovénie</v>
      </c>
      <c r="DE35" s="3" t="str">
        <f t="shared" ref="DE35" si="436">IF(CX35&gt;=CV37,CT35,CT37)</f>
        <v>Suisse</v>
      </c>
      <c r="DF35" s="3" t="str">
        <f t="shared" ref="DF35" si="437">IF(CW35&gt;=CV36,CT35,CT36)</f>
        <v>Slovénie</v>
      </c>
      <c r="DJ35" s="63" t="str">
        <f t="shared" si="421"/>
        <v>Slovénie</v>
      </c>
      <c r="DK35" s="66">
        <f t="shared" ref="DK35" si="438">AL36</f>
        <v>16</v>
      </c>
      <c r="DL35" s="73">
        <f>COUNTIF(DC34:DG38,C35)</f>
        <v>3</v>
      </c>
      <c r="DM35" s="11" t="str">
        <f t="shared" si="423"/>
        <v>Slovénie</v>
      </c>
      <c r="DN35" s="45"/>
      <c r="DO35" s="11">
        <v>2</v>
      </c>
      <c r="DP35" s="69" t="str">
        <f>VLOOKUP(4,DL34:DM39,2,FALSE)</f>
        <v>Suisse</v>
      </c>
      <c r="DQ35" s="11">
        <v>2</v>
      </c>
      <c r="DR35" s="11">
        <f t="shared" ref="DR35" si="439">VLOOKUP(DP35,U34:AB39,8,FALSE)</f>
        <v>4</v>
      </c>
      <c r="DS35" s="45"/>
    </row>
    <row r="36" spans="2:123" ht="15.75" customHeight="1" thickBot="1" x14ac:dyDescent="0.3">
      <c r="B36" s="566"/>
      <c r="C36" s="306" t="s">
        <v>56</v>
      </c>
      <c r="D36" s="184" t="s">
        <v>12</v>
      </c>
      <c r="E36" s="185" t="s">
        <v>32</v>
      </c>
      <c r="F36" s="165"/>
      <c r="G36" s="185" t="s">
        <v>22</v>
      </c>
      <c r="H36" s="185" t="s">
        <v>40</v>
      </c>
      <c r="I36" s="186" t="s">
        <v>23</v>
      </c>
      <c r="U36" s="11" t="str">
        <f t="shared" si="395"/>
        <v>Lituanie</v>
      </c>
      <c r="V36" s="12">
        <f>IF(OR(D36="-",D36=""),0,IF(MID(D36,1,1)&gt;MID(D36,3,1),3,        IF(MID(D36,1,1)=MID(D36,3,1),1,         IF(MID(D36,1,1)&lt;MID(D36,3,1),0)        )))</f>
        <v>0</v>
      </c>
      <c r="W36" s="13">
        <f>IF(OR(E36="-",E36=""),0,IF(MID(E36,1,1)&gt;MID(E36,3,1),3,        IF(MID(E36,1,1)=MID(E36,3,1),1,         IF(MID(E36,1,1)&lt;MID(E36,3,1),0)        )))</f>
        <v>0</v>
      </c>
      <c r="X36" s="27"/>
      <c r="Y36" s="13">
        <f>IF(OR(G36="-",G36=""),0,IF(MID(G36,1,1)&gt;MID(G36,3,1),3,        IF(MID(G36,1,1)=MID(G36,3,1),1,         IF(MID(G36,1,1)&lt;MID(G36,3,1),0)        )))</f>
        <v>0</v>
      </c>
      <c r="Z36" s="13">
        <f>IF(OR(H36="-",H36=""),0,IF(MID(H36,1,1)&gt;MID(H36,3,1),3,        IF(MID(H36,1,1)=MID(H36,3,1),1,         IF(MID(H36,1,1)&lt;MID(H36,3,1),0)        )))</f>
        <v>3</v>
      </c>
      <c r="AA36" s="14">
        <f>IF(OR(I36="-",I36=""),0,IF(MID(I36,1,1)&gt;MID(I36,3,1),3,        IF(MID(I36,1,1)=MID(I36,3,1),1,         IF(MID(I36,1,1)&lt;MID(I36,3,1),0)        )))</f>
        <v>3</v>
      </c>
      <c r="AB36" s="3">
        <v>3</v>
      </c>
      <c r="AC36" s="22">
        <f>IF(OR(D36="-",D36=""),0,IF(MID(D36,3,1)&gt;MID(D36,1,1),3,        IF(MID(D36,3,1)=MID(D36,1,1),1,         IF(MID(D36,3,1)&lt;MID(D36,1,1),0)        )))</f>
        <v>3</v>
      </c>
      <c r="AD36" s="13">
        <f>IF(OR(E36="-",E36=""),0,IF(MID(E36,3,1)&gt;MID(E36,1,1),3,        IF(MID(E36,3,1)=MID(E36,1,1),1,         IF(MID(E36,3,1)&lt;MID(E36,1,1),0)        )))</f>
        <v>3</v>
      </c>
      <c r="AE36" s="27"/>
      <c r="AF36" s="13">
        <f>IF(OR(G36="-",G36=""),0,IF(MID(G36,3,1)&gt;MID(G36,1,1),3,        IF(MID(G36,3,1)=MID(G36,1,1),1,         IF(MID(G36,3,1)&lt;MID(G36,1,1),0)        )))</f>
        <v>3</v>
      </c>
      <c r="AG36" s="13">
        <f>IF(OR(H36="-",H36=""),0,IF(MID(H36,3,1)&gt;MID(H36,1,1),3,        IF(MID(H36,3,1)=MID(H36,1,1),1,         IF(MID(H36,3,1)&lt;MID(H36,1,1),0)        )))</f>
        <v>0</v>
      </c>
      <c r="AH36" s="14">
        <f>IF(OR(I36="-",I36=""),0,IF(MID(I36,3,1)&gt;MID(I36,1,1),3,        IF(MID(I36,3,1)=MID(I36,1,1),1,         IF(MID(I36,3,1)&lt;MID(I36,1,1),0)        )))</f>
        <v>0</v>
      </c>
      <c r="AI36" s="36"/>
      <c r="AJ36" s="77"/>
      <c r="AK36" s="23">
        <f t="shared" ref="AK36" si="440">SUM(W34:AA34,AC35:AC39)</f>
        <v>30</v>
      </c>
      <c r="AL36" s="17">
        <f t="shared" ref="AL36" si="441">SUM(V35,X35:AA35,AD34,AD36:AD39)</f>
        <v>16</v>
      </c>
      <c r="AM36" s="17">
        <f t="shared" ref="AM36" si="442">SUM(V36:W36,Y36:AA36,AE34:AE35,AE37:AE39)</f>
        <v>10</v>
      </c>
      <c r="AN36" s="17">
        <f t="shared" ref="AN36" si="443">SUM(V37:X37,Z37:AA37,AF34:AF36,AF38:AF39)</f>
        <v>21</v>
      </c>
      <c r="AO36" s="17">
        <f t="shared" ref="AO36" si="444">SUM(V38:Y38,AA38,AG34:AG37,AG39)</f>
        <v>10</v>
      </c>
      <c r="AP36" s="24">
        <f t="shared" ref="AP36" si="445">SUM(V39:Z39,AH34:AH38)</f>
        <v>1</v>
      </c>
      <c r="AQ36" s="18"/>
      <c r="AR36" s="11" t="str">
        <f t="shared" si="396"/>
        <v>Lituanie</v>
      </c>
      <c r="AS36" s="12">
        <f t="shared" si="426"/>
        <v>-3</v>
      </c>
      <c r="AT36" s="12">
        <f t="shared" ref="AT36:AT39" si="446">BQ36-BX36</f>
        <v>-2</v>
      </c>
      <c r="AU36" s="80"/>
      <c r="AV36" s="12">
        <f t="shared" si="399"/>
        <v>-1</v>
      </c>
      <c r="AW36" s="12">
        <f t="shared" si="400"/>
        <v>1</v>
      </c>
      <c r="AX36" s="69">
        <f t="shared" si="401"/>
        <v>1</v>
      </c>
      <c r="AY36" s="45"/>
      <c r="AZ36" s="22">
        <f t="shared" si="427"/>
        <v>3</v>
      </c>
      <c r="BA36" s="13">
        <f t="shared" ref="BA36:BA39" si="447">BX36-BQ36</f>
        <v>2</v>
      </c>
      <c r="BB36" s="27"/>
      <c r="BC36" s="13">
        <f t="shared" si="404"/>
        <v>1</v>
      </c>
      <c r="BD36" s="13">
        <f t="shared" si="405"/>
        <v>-1</v>
      </c>
      <c r="BE36" s="14">
        <f t="shared" si="406"/>
        <v>-1</v>
      </c>
      <c r="BF36" s="77"/>
      <c r="BG36" s="4" t="s">
        <v>86</v>
      </c>
      <c r="BH36" s="5" t="str">
        <f t="shared" ref="BH36:BM36" si="448">D33</f>
        <v>Angleterre</v>
      </c>
      <c r="BI36" s="5" t="str">
        <f t="shared" si="448"/>
        <v>Slovénie</v>
      </c>
      <c r="BJ36" s="5" t="str">
        <f t="shared" si="448"/>
        <v>Lituanie</v>
      </c>
      <c r="BK36" s="5" t="str">
        <f t="shared" si="448"/>
        <v>Suisse</v>
      </c>
      <c r="BL36" s="5" t="str">
        <f t="shared" si="448"/>
        <v>Estonie</v>
      </c>
      <c r="BM36" s="76" t="str">
        <f t="shared" si="448"/>
        <v>Saint-Marrin</v>
      </c>
      <c r="BO36" s="11" t="str">
        <f t="shared" si="407"/>
        <v>Lituanie</v>
      </c>
      <c r="BP36" s="12">
        <f>IF(OR(D36="-",D36=""),0,_xlfn.NUMBERVALUE(MID(D36,1,1)))</f>
        <v>0</v>
      </c>
      <c r="BQ36" s="13">
        <f>IF(OR(E36="-",E36=""),0,_xlfn.NUMBERVALUE(MID(E36,1,1)))</f>
        <v>0</v>
      </c>
      <c r="BR36" s="27"/>
      <c r="BS36" s="13">
        <f>IF(OR(G36="-",G36=""),0,_xlfn.NUMBERVALUE(MID(G36,1,1)))</f>
        <v>1</v>
      </c>
      <c r="BT36" s="13">
        <f>IF(OR(H36="-",H36=""),0,_xlfn.NUMBERVALUE(MID(H36,1,1)))</f>
        <v>1</v>
      </c>
      <c r="BU36" s="14">
        <f>IF(OR(I36="-",I36=""),0,_xlfn.NUMBERVALUE(MID(I36,1,1)))</f>
        <v>2</v>
      </c>
      <c r="BV36" s="18"/>
      <c r="BW36" s="31">
        <f>IF(OR(D36="-",D36=""),0,_xlfn.NUMBERVALUE(MID(D36,3,1)))</f>
        <v>3</v>
      </c>
      <c r="BX36" s="9">
        <f>IF(OR(E36="-",E36=""),0,_xlfn.NUMBERVALUE(MID(E36,3,1)))</f>
        <v>2</v>
      </c>
      <c r="BY36" s="27"/>
      <c r="BZ36" s="9">
        <f>IF(OR(G36="-",G36=""),0,_xlfn.NUMBERVALUE(MID(G36,3,1)))</f>
        <v>2</v>
      </c>
      <c r="CA36" s="9">
        <f>IF(OR(H36="-",H36=""),0,_xlfn.NUMBERVALUE(MID(H36,3,1)))</f>
        <v>0</v>
      </c>
      <c r="CB36" s="10">
        <f>IF(OR(I36="-",I36=""),0,_xlfn.NUMBERVALUE(MID(I36,3,1)))</f>
        <v>1</v>
      </c>
      <c r="CD36" s="8" t="s">
        <v>91</v>
      </c>
      <c r="CE36" s="39">
        <f t="shared" ref="CE36" si="449">SUM(BQ34:BU34)</f>
        <v>16</v>
      </c>
      <c r="CF36" s="9">
        <f>SUM(BP35,BR35:BU35)</f>
        <v>11</v>
      </c>
      <c r="CG36" s="9">
        <f>SUM(BP36:BQ36,BS36:BU36)</f>
        <v>4</v>
      </c>
      <c r="CH36" s="9">
        <f>SUM(BP37:BR37,BT37:BU37)</f>
        <v>17</v>
      </c>
      <c r="CI36" s="9">
        <f>SUM(BP38:BS38,BU38)</f>
        <v>4</v>
      </c>
      <c r="CJ36" s="10">
        <f t="shared" ref="CJ36" si="450">SUM(BP39:BT39)</f>
        <v>0</v>
      </c>
      <c r="CL36" s="11" t="str">
        <f t="shared" si="408"/>
        <v>Lituanie</v>
      </c>
      <c r="CM36" s="12">
        <f t="shared" ref="CM36" si="451">-CO34</f>
        <v>-6</v>
      </c>
      <c r="CN36" s="13">
        <f t="shared" ref="CN36" si="452">-CO35</f>
        <v>-3</v>
      </c>
      <c r="CO36" s="27"/>
      <c r="CP36" s="37">
        <f t="shared" ref="CP36" si="453">Y36+AE37-(X37+AF36)</f>
        <v>-6</v>
      </c>
      <c r="CQ36" s="37">
        <f t="shared" ref="CQ36" si="454">Z36+AE38-(X38+AG36)</f>
        <v>0</v>
      </c>
      <c r="CR36" s="41">
        <f t="shared" ref="CR36" si="455">AA36+AE39-(X39+AH36)</f>
        <v>6</v>
      </c>
      <c r="CT36" s="8" t="str">
        <f t="shared" si="414"/>
        <v>Lituanie</v>
      </c>
      <c r="CU36" s="51">
        <f>$DK36+0.01*CM36+0.0001*(BP36+BY34)+0.000001*BY34</f>
        <v>9.94</v>
      </c>
      <c r="CV36" s="51">
        <f>$DK36+0.01*CN36+0.0001*(BQ36+BY35)+0.000001*BY35</f>
        <v>9.9701009999999997</v>
      </c>
      <c r="CW36" s="47"/>
      <c r="CX36" s="51">
        <f>$DK36+0.01*CP36+0.0001*(BS36+BY37)+0.000001*BY37</f>
        <v>9.9400999999999993</v>
      </c>
      <c r="CY36" s="51">
        <f>$DK36+0.01*CQ36+0.0001*(BT36+BY38)+0.000001*BY38</f>
        <v>10.0001</v>
      </c>
      <c r="CZ36" s="52">
        <f>$DK36+0.01*CR36+0.0001*(BU36+BY39)+0.000001*BY39</f>
        <v>10.060402000000002</v>
      </c>
      <c r="DB36" s="61" t="str">
        <f t="shared" si="415"/>
        <v>Lituanie</v>
      </c>
      <c r="DC36" s="3" t="str">
        <f t="shared" ref="DC36" si="456">IF(CZ36&gt;=CW39,CT36,CT39)</f>
        <v>Lituanie</v>
      </c>
      <c r="DD36" s="3" t="str">
        <f t="shared" ref="DD36" si="457">IF(CY36&gt;=CW38,CT36,CT38)</f>
        <v>Lituanie</v>
      </c>
      <c r="DE36" s="3" t="str">
        <f t="shared" ref="DE36" si="458">IF(CX36&gt;=CW37,CT36,CT37)</f>
        <v>Suisse</v>
      </c>
      <c r="DJ36" s="63" t="str">
        <f t="shared" si="421"/>
        <v>Lituanie</v>
      </c>
      <c r="DK36" s="66">
        <f t="shared" ref="DK36" si="459">AM36</f>
        <v>10</v>
      </c>
      <c r="DL36" s="73">
        <f>COUNTIF(DC34:DG38,C36)</f>
        <v>2</v>
      </c>
      <c r="DM36" s="11" t="str">
        <f t="shared" si="423"/>
        <v>Lituanie</v>
      </c>
      <c r="DN36" s="45"/>
      <c r="DO36" s="11">
        <v>3</v>
      </c>
      <c r="DP36" s="69" t="str">
        <f>VLOOKUP(3,DL34:DM39,2,FALSE)</f>
        <v>Slovénie</v>
      </c>
      <c r="DQ36" s="11">
        <v>3</v>
      </c>
      <c r="DR36" s="11">
        <f t="shared" ref="DR36" si="460">VLOOKUP(DP36,U34:AB39,8,FALSE)</f>
        <v>2</v>
      </c>
      <c r="DS36" s="45"/>
    </row>
    <row r="37" spans="2:123" ht="15.75" customHeight="1" thickBot="1" x14ac:dyDescent="0.3">
      <c r="B37" s="566"/>
      <c r="C37" s="306" t="s">
        <v>57</v>
      </c>
      <c r="D37" s="184" t="s">
        <v>32</v>
      </c>
      <c r="E37" s="185" t="s">
        <v>30</v>
      </c>
      <c r="F37" s="185" t="s">
        <v>53</v>
      </c>
      <c r="G37" s="165"/>
      <c r="H37" s="185" t="s">
        <v>10</v>
      </c>
      <c r="I37" s="186" t="s">
        <v>155</v>
      </c>
      <c r="U37" s="11" t="str">
        <f t="shared" si="395"/>
        <v>Suisse</v>
      </c>
      <c r="V37" s="12">
        <f>IF(OR(D37="-",D37=""),0,IF(MID(D37,1,1)&gt;MID(D37,3,1),3,        IF(MID(D37,1,1)=MID(D37,3,1),1,         IF(MID(D37,1,1)&lt;MID(D37,3,1),0)        )))</f>
        <v>0</v>
      </c>
      <c r="W37" s="13">
        <f>IF(OR(E37="-",E37=""),0,IF(MID(E37,1,1)&gt;MID(E37,3,1),3,        IF(MID(E37,1,1)=MID(E37,3,1),1,         IF(MID(E37,1,1)&lt;MID(E37,3,1),0)        )))</f>
        <v>3</v>
      </c>
      <c r="X37" s="13">
        <f>IF(OR(F37="-",F37=""),0,IF(MID(F37,1,1)&gt;MID(F37,3,1),3,        IF(MID(F37,1,1)=MID(F37,3,1),1,         IF(MID(F37,1,1)&lt;MID(F37,3,1),0)        )))</f>
        <v>3</v>
      </c>
      <c r="Y37" s="27"/>
      <c r="Z37" s="13">
        <f>IF(OR(H37="-",H37=""),0,IF(MID(H37,1,1)&gt;MID(H37,3,1),3,        IF(MID(H37,1,1)=MID(H37,3,1),1,         IF(MID(H37,1,1)&lt;MID(H37,3,1),0)        )))</f>
        <v>3</v>
      </c>
      <c r="AA37" s="14">
        <f>IF(OR(I37="-",I37=""),0,IF(MID(I37,1,1)&gt;MID(I37,3,1),3,        IF(MID(I37,1,1)=MID(I37,3,1),1,         IF(MID(I37,1,1)&lt;MID(I37,3,1),0)        )))</f>
        <v>3</v>
      </c>
      <c r="AB37" s="3">
        <v>4</v>
      </c>
      <c r="AC37" s="22">
        <f>IF(OR(D37="-",D37=""),0,IF(MID(D37,3,1)&gt;MID(D37,1,1),3,        IF(MID(D37,3,1)=MID(D37,1,1),1,         IF(MID(D37,3,1)&lt;MID(D37,1,1),0)        )))</f>
        <v>3</v>
      </c>
      <c r="AD37" s="13">
        <f>IF(OR(E37="-",E37=""),0,IF(MID(E37,3,1)&gt;MID(E37,1,1),3,        IF(MID(E37,3,1)=MID(E37,1,1),1,         IF(MID(E37,3,1)&lt;MID(E37,1,1),0)        )))</f>
        <v>0</v>
      </c>
      <c r="AE37" s="13">
        <f>IF(OR(F37="-",F37=""),0,IF(MID(F37,3,1)&gt;MID(F37,1,1),3,        IF(MID(F37,3,1)=MID(F37,1,1),1,         IF(MID(F37,3,1)&lt;MID(F37,1,1),0)        )))</f>
        <v>0</v>
      </c>
      <c r="AF37" s="27"/>
      <c r="AG37" s="13">
        <f>IF(OR(H37="-",H37=""),0,IF(MID(H37,3,1)&gt;MID(H37,1,1),3,        IF(MID(H37,3,1)=MID(H37,1,1),1,         IF(MID(H37,3,1)&lt;MID(H37,1,1),0)        )))</f>
        <v>0</v>
      </c>
      <c r="AH37" s="14">
        <f>IF(OR(I37="-",I37=""),0,IF(MID(I37,3,1)&gt;MID(I37,1,1),3,        IF(MID(I37,3,1)=MID(I37,1,1),1,         IF(MID(I37,3,1)&lt;MID(I37,1,1),0)        )))</f>
        <v>0</v>
      </c>
      <c r="AI37" s="77"/>
      <c r="AJ37" s="77"/>
      <c r="AK37" s="45"/>
      <c r="AL37" s="45"/>
      <c r="AM37" s="45"/>
      <c r="AN37" s="45"/>
      <c r="AO37" s="45"/>
      <c r="AP37" s="45"/>
      <c r="AQ37" s="18"/>
      <c r="AR37" s="11" t="str">
        <f t="shared" si="396"/>
        <v>Suisse</v>
      </c>
      <c r="AS37" s="12">
        <f t="shared" si="426"/>
        <v>-2</v>
      </c>
      <c r="AT37" s="12">
        <f t="shared" si="446"/>
        <v>1</v>
      </c>
      <c r="AU37" s="12">
        <f t="shared" ref="AU37:AU39" si="461">BR37-BY37</f>
        <v>4</v>
      </c>
      <c r="AV37" s="80"/>
      <c r="AW37" s="12">
        <f t="shared" si="400"/>
        <v>3</v>
      </c>
      <c r="AX37" s="69">
        <f t="shared" si="401"/>
        <v>7</v>
      </c>
      <c r="AY37" s="45"/>
      <c r="AZ37" s="22">
        <f t="shared" si="427"/>
        <v>2</v>
      </c>
      <c r="BA37" s="13">
        <f t="shared" si="447"/>
        <v>-1</v>
      </c>
      <c r="BB37" s="13">
        <f t="shared" ref="BB37:BB39" si="462">BY37-BR37</f>
        <v>-4</v>
      </c>
      <c r="BC37" s="27"/>
      <c r="BD37" s="13">
        <f t="shared" si="405"/>
        <v>-3</v>
      </c>
      <c r="BE37" s="14">
        <f t="shared" si="406"/>
        <v>-7</v>
      </c>
      <c r="BF37" s="77"/>
      <c r="BG37" s="19" t="s">
        <v>91</v>
      </c>
      <c r="BH37" s="87">
        <f t="shared" ref="BH37" si="463">SUM(AT34:AX34,AZ35:AZ39)</f>
        <v>28</v>
      </c>
      <c r="BI37" s="32">
        <f t="shared" ref="BI37" si="464">SUM(AS35,AU35:AX35,BA34,BA36:BA39)</f>
        <v>7</v>
      </c>
      <c r="BJ37" s="32">
        <f t="shared" ref="BJ37" si="465">SUM(AS36:AT36,AV36:AX36,BB34:BB35,BB37:BB39)</f>
        <v>-11</v>
      </c>
      <c r="BK37" s="32">
        <f t="shared" ref="BK37" si="466">SUM(AS37:AU37,AW37:AX37,BC34:BC36,BC38:BC39)</f>
        <v>16</v>
      </c>
      <c r="BL37" s="32">
        <f t="shared" ref="BL37" si="467">SUM(AS38:AV38,AX38,BD34:BD37,BD39)</f>
        <v>-5</v>
      </c>
      <c r="BM37" s="33">
        <f t="shared" ref="BM37" si="468">SUM(AS39:AW39,BE34:BE38)</f>
        <v>-35</v>
      </c>
      <c r="BO37" s="11" t="str">
        <f t="shared" si="407"/>
        <v>Suisse</v>
      </c>
      <c r="BP37" s="12">
        <f>IF(OR(D37="-",D37=""),0,_xlfn.NUMBERVALUE(MID(D37,1,1)))</f>
        <v>0</v>
      </c>
      <c r="BQ37" s="13">
        <f>IF(OR(E37="-",E37=""),0,_xlfn.NUMBERVALUE(MID(E37,1,1)))</f>
        <v>3</v>
      </c>
      <c r="BR37" s="13">
        <f>IF(OR(F37="-",F37=""),0,_xlfn.NUMBERVALUE(MID(F37,1,1)))</f>
        <v>4</v>
      </c>
      <c r="BS37" s="27"/>
      <c r="BT37" s="13">
        <f>IF(OR(H37="-",H37=""),0,_xlfn.NUMBERVALUE(MID(H37,1,1)))</f>
        <v>3</v>
      </c>
      <c r="BU37" s="14">
        <f>IF(OR(I37="-",I37=""),0,_xlfn.NUMBERVALUE(MID(I37,1,1)))</f>
        <v>7</v>
      </c>
      <c r="BV37" s="18"/>
      <c r="BW37" s="31">
        <f>IF(OR(D37="-",D37=""),0,_xlfn.NUMBERVALUE(MID(D37,3,1)))</f>
        <v>2</v>
      </c>
      <c r="BX37" s="9">
        <f>IF(OR(E37="-",E37=""),0,_xlfn.NUMBERVALUE(MID(E37,3,1)))</f>
        <v>2</v>
      </c>
      <c r="BY37" s="9">
        <f>IF(OR(F37="-",F37=""),0,_xlfn.NUMBERVALUE(MID(F37,3,1)))</f>
        <v>0</v>
      </c>
      <c r="BZ37" s="27"/>
      <c r="CA37" s="9">
        <f>IF(OR(H37="-",H37=""),0,_xlfn.NUMBERVALUE(MID(H37,3,1)))</f>
        <v>0</v>
      </c>
      <c r="CB37" s="10">
        <f>IF(OR(I37="-",I37=""),0,_xlfn.NUMBERVALUE(MID(I37,3,1)))</f>
        <v>0</v>
      </c>
      <c r="CD37" s="11" t="s">
        <v>92</v>
      </c>
      <c r="CE37" s="12">
        <f t="shared" ref="CE37" si="469">SUM(BW35:BW39)</f>
        <v>15</v>
      </c>
      <c r="CF37" s="13">
        <f>SUM(BX34,BX36:BX39)</f>
        <v>7</v>
      </c>
      <c r="CG37" s="13">
        <f>SUM(BY34:BY35,BY37:BY39)</f>
        <v>3</v>
      </c>
      <c r="CH37" s="13">
        <f>SUM(BZ34:BZ36,BZ38:BZ39)</f>
        <v>7</v>
      </c>
      <c r="CI37" s="13">
        <f>SUM(CA34:CA37,CA39)</f>
        <v>0</v>
      </c>
      <c r="CJ37" s="14">
        <f t="shared" ref="CJ37" si="470">SUM(CB34:CB38)</f>
        <v>1</v>
      </c>
      <c r="CL37" s="11" t="str">
        <f t="shared" si="408"/>
        <v>Suisse</v>
      </c>
      <c r="CM37" s="12">
        <f t="shared" ref="CM37" si="471">-CP34</f>
        <v>-6</v>
      </c>
      <c r="CN37" s="13">
        <f t="shared" ref="CN37" si="472">-CP35</f>
        <v>0</v>
      </c>
      <c r="CO37" s="37">
        <f t="shared" ref="CO37" si="473">-CP36</f>
        <v>6</v>
      </c>
      <c r="CP37" s="27"/>
      <c r="CQ37" s="37">
        <f t="shared" ref="CQ37" si="474">Z37+AF38-(Y38+AG37)</f>
        <v>6</v>
      </c>
      <c r="CR37" s="41">
        <f t="shared" ref="CR37" si="475">AA37+AF39-(Y39+AH37)</f>
        <v>6</v>
      </c>
      <c r="CT37" s="8" t="str">
        <f t="shared" si="414"/>
        <v>Suisse</v>
      </c>
      <c r="CU37" s="51">
        <f>$DK37+0.01*CM37+0.0001*(BP37+BZ34)+0.000001*BZ34</f>
        <v>20.94</v>
      </c>
      <c r="CV37" s="51">
        <f>$DK37+0.01*CN37+0.0001*(BQ37+BZ35)+0.000001*BZ35</f>
        <v>21.000299999999999</v>
      </c>
      <c r="CW37" s="51">
        <f>$DK37+0.01*CO37+0.0001*(BR37+BZ36)+0.000001*BZ36</f>
        <v>21.060601999999996</v>
      </c>
      <c r="CX37" s="47"/>
      <c r="CY37" s="51">
        <f>$DK37+0.01*CQ37+0.0001*(BT37+BZ38)+0.000001*BZ38</f>
        <v>21.060400999999999</v>
      </c>
      <c r="CZ37" s="52">
        <f>$DK37+0.01*CR37+0.0001*(BU37+BZ39)+0.000001*BZ39</f>
        <v>21.061104</v>
      </c>
      <c r="DB37" s="61" t="str">
        <f t="shared" si="415"/>
        <v>Suisse</v>
      </c>
      <c r="DC37" s="3" t="str">
        <f t="shared" ref="DC37" si="476">IF(CZ37&gt;=CX39,CT37,CT39)</f>
        <v>Suisse</v>
      </c>
      <c r="DD37" s="3" t="str">
        <f t="shared" ref="DD37" si="477">IF(CY37&gt;=CX38,CT37,CT38)</f>
        <v>Suisse</v>
      </c>
      <c r="DJ37" s="63" t="str">
        <f t="shared" si="421"/>
        <v>Suisse</v>
      </c>
      <c r="DK37" s="66">
        <f t="shared" ref="DK37" si="478">AN36</f>
        <v>21</v>
      </c>
      <c r="DL37" s="73">
        <f>COUNTIF(DC34:DG38,C37)</f>
        <v>4</v>
      </c>
      <c r="DM37" s="11" t="str">
        <f t="shared" si="423"/>
        <v>Suisse</v>
      </c>
      <c r="DN37" s="45"/>
      <c r="DO37" s="11">
        <v>4</v>
      </c>
      <c r="DP37" s="69" t="str">
        <f>VLOOKUP(2,DL34:DM39,2,FALSE)</f>
        <v>Lituanie</v>
      </c>
      <c r="DQ37" s="11">
        <v>4</v>
      </c>
      <c r="DR37" s="11">
        <f t="shared" ref="DR37" si="479">VLOOKUP(DP37,U34:AB39,8,FALSE)</f>
        <v>3</v>
      </c>
      <c r="DS37" s="45"/>
    </row>
    <row r="38" spans="2:123" ht="15.75" customHeight="1" thickBot="1" x14ac:dyDescent="0.3">
      <c r="B38" s="566"/>
      <c r="C38" s="306" t="s">
        <v>58</v>
      </c>
      <c r="D38" s="184" t="s">
        <v>29</v>
      </c>
      <c r="E38" s="185" t="s">
        <v>40</v>
      </c>
      <c r="F38" s="185" t="s">
        <v>40</v>
      </c>
      <c r="G38" s="185" t="s">
        <v>29</v>
      </c>
      <c r="H38" s="165"/>
      <c r="I38" s="186" t="s">
        <v>9</v>
      </c>
      <c r="U38" s="11" t="str">
        <f t="shared" si="395"/>
        <v>Estonie</v>
      </c>
      <c r="V38" s="12">
        <f>IF(OR(D38="-",D38=""),0,IF(MID(D38,1,1)&gt;MID(D38,3,1),3,        IF(MID(D38,1,1)=MID(D38,3,1),1,         IF(MID(D38,1,1)&lt;MID(D38,3,1),0)        )))</f>
        <v>0</v>
      </c>
      <c r="W38" s="13">
        <f>IF(OR(E38="-",E38=""),0,IF(MID(E38,1,1)&gt;MID(E38,3,1),3,        IF(MID(E38,1,1)=MID(E38,3,1),1,         IF(MID(E38,1,1)&lt;MID(E38,3,1),0)        )))</f>
        <v>3</v>
      </c>
      <c r="X38" s="13">
        <f>IF(OR(F38="-",F38=""),0,IF(MID(F38,1,1)&gt;MID(F38,3,1),3,        IF(MID(F38,1,1)=MID(F38,3,1),1,         IF(MID(F38,1,1)&lt;MID(F38,3,1),0)        )))</f>
        <v>3</v>
      </c>
      <c r="Y38" s="13">
        <f>IF(OR(G38="-",G38=""),0,IF(MID(G38,1,1)&gt;MID(G38,3,1),3,        IF(MID(G38,1,1)=MID(G38,3,1),1,         IF(MID(G38,1,1)&lt;MID(G38,3,1),0)        )))</f>
        <v>0</v>
      </c>
      <c r="Z38" s="27"/>
      <c r="AA38" s="14">
        <f>IF(OR(I38="-",I38=""),0,IF(MID(I38,1,1)&gt;MID(I38,3,1),3,        IF(MID(I38,1,1)=MID(I38,3,1),1,         IF(MID(I38,1,1)&lt;MID(I38,3,1),0)        )))</f>
        <v>3</v>
      </c>
      <c r="AB38" s="3">
        <v>5</v>
      </c>
      <c r="AC38" s="22">
        <f>IF(OR(D38="-",D38=""),0,IF(MID(D38,3,1)&gt;MID(D38,1,1),3,        IF(MID(D38,3,1)=MID(D38,1,1),1,         IF(MID(D38,3,1)&lt;MID(D38,1,1),0)        )))</f>
        <v>3</v>
      </c>
      <c r="AD38" s="13">
        <f>IF(OR(E38="-",E38=""),0,IF(MID(E38,3,1)&gt;MID(E38,1,1),3,        IF(MID(E38,3,1)=MID(E38,1,1),1,         IF(MID(E38,3,1)&lt;MID(E38,1,1),0)        )))</f>
        <v>0</v>
      </c>
      <c r="AE38" s="13">
        <f>IF(OR(F38="-",F38=""),0,IF(MID(F38,3,1)&gt;MID(F38,1,1),3,        IF(MID(F38,3,1)=MID(F38,1,1),1,         IF(MID(F38,3,1)&lt;MID(F38,1,1),0)        )))</f>
        <v>0</v>
      </c>
      <c r="AF38" s="13">
        <f>IF(OR(G38="-",G38=""),0,IF(MID(G38,3,1)&gt;MID(G38,1,1),3,        IF(MID(G38,3,1)=MID(G38,1,1),1,         IF(MID(G38,3,1)&lt;MID(G38,1,1),0)        )))</f>
        <v>3</v>
      </c>
      <c r="AG38" s="27"/>
      <c r="AH38" s="14">
        <f>IF(OR(I38="-",I38=""),0,IF(MID(I38,3,1)&gt;MID(I38,1,1),3,        IF(MID(I38,3,1)=MID(I38,1,1),1,         IF(MID(I38,3,1)&lt;MID(I38,1,1),0)        )))</f>
        <v>0</v>
      </c>
      <c r="AI38" s="36"/>
      <c r="AJ38" s="77"/>
      <c r="AR38" s="11" t="str">
        <f t="shared" si="396"/>
        <v>Estonie</v>
      </c>
      <c r="AS38" s="12">
        <f t="shared" si="426"/>
        <v>-1</v>
      </c>
      <c r="AT38" s="12">
        <f t="shared" si="446"/>
        <v>1</v>
      </c>
      <c r="AU38" s="12">
        <f t="shared" si="461"/>
        <v>1</v>
      </c>
      <c r="AV38" s="12">
        <f t="shared" ref="AV38:AV39" si="480">BS38-BZ38</f>
        <v>-1</v>
      </c>
      <c r="AW38" s="80"/>
      <c r="AX38" s="69">
        <f t="shared" si="401"/>
        <v>2</v>
      </c>
      <c r="AY38" s="45"/>
      <c r="AZ38" s="22">
        <f t="shared" si="427"/>
        <v>1</v>
      </c>
      <c r="BA38" s="13">
        <f t="shared" si="447"/>
        <v>-1</v>
      </c>
      <c r="BB38" s="13">
        <f t="shared" si="462"/>
        <v>-1</v>
      </c>
      <c r="BC38" s="13">
        <f t="shared" ref="BC38:BC39" si="481">BZ38-BS38</f>
        <v>1</v>
      </c>
      <c r="BD38" s="27"/>
      <c r="BE38" s="14">
        <f t="shared" si="406"/>
        <v>-2</v>
      </c>
      <c r="BF38" s="77"/>
      <c r="BG38" s="45"/>
      <c r="BH38" s="45"/>
      <c r="BI38" s="45"/>
      <c r="BJ38" s="45"/>
      <c r="BK38" s="45"/>
      <c r="BL38" s="45"/>
      <c r="BM38" s="45"/>
      <c r="BO38" s="11" t="str">
        <f t="shared" si="407"/>
        <v>Estonie</v>
      </c>
      <c r="BP38" s="12">
        <f>IF(OR(D38="-",D38=""),0,_xlfn.NUMBERVALUE(MID(D38,1,1)))</f>
        <v>0</v>
      </c>
      <c r="BQ38" s="13">
        <f>IF(OR(E38="-",E38=""),0,_xlfn.NUMBERVALUE(MID(E38,1,1)))</f>
        <v>1</v>
      </c>
      <c r="BR38" s="13">
        <f>IF(OR(F38="-",F38=""),0,_xlfn.NUMBERVALUE(MID(F38,1,1)))</f>
        <v>1</v>
      </c>
      <c r="BS38" s="13">
        <f>IF(OR(G38="-",G38=""),0,_xlfn.NUMBERVALUE(MID(G38,1,1)))</f>
        <v>0</v>
      </c>
      <c r="BT38" s="27"/>
      <c r="BU38" s="14">
        <f>IF(OR(I38="-",I38=""),0,_xlfn.NUMBERVALUE(MID(I38,1,1)))</f>
        <v>2</v>
      </c>
      <c r="BV38" s="18"/>
      <c r="BW38" s="31">
        <f>IF(OR(D38="-",D38=""),0,_xlfn.NUMBERVALUE(MID(D38,3,1)))</f>
        <v>1</v>
      </c>
      <c r="BX38" s="9">
        <f>IF(OR(E38="-",E38=""),0,_xlfn.NUMBERVALUE(MID(E38,3,1)))</f>
        <v>0</v>
      </c>
      <c r="BY38" s="9">
        <f>IF(OR(F38="-",F38=""),0,_xlfn.NUMBERVALUE(MID(F38,3,1)))</f>
        <v>0</v>
      </c>
      <c r="BZ38" s="9">
        <f>IF(OR(G38="-",G38=""),0,_xlfn.NUMBERVALUE(MID(G38,3,1)))</f>
        <v>1</v>
      </c>
      <c r="CA38" s="27"/>
      <c r="CB38" s="10">
        <f>IF(OR(I38="-",I38=""),0,_xlfn.NUMBERVALUE(MID(I38,3,1)))</f>
        <v>0</v>
      </c>
      <c r="CD38" s="15" t="s">
        <v>93</v>
      </c>
      <c r="CE38" s="16">
        <f t="shared" ref="CE38" si="482">SUM(CE36,CE37)</f>
        <v>31</v>
      </c>
      <c r="CF38" s="17">
        <f t="shared" ref="CF38" si="483">SUM(CF36,CF37)</f>
        <v>18</v>
      </c>
      <c r="CG38" s="17">
        <f t="shared" ref="CG38" si="484">SUM(CG36,CG37)</f>
        <v>7</v>
      </c>
      <c r="CH38" s="17">
        <f t="shared" ref="CH38" si="485">SUM(CH36,CH37)</f>
        <v>24</v>
      </c>
      <c r="CI38" s="17">
        <f t="shared" ref="CI38" si="486">SUM(CI36,CI37)</f>
        <v>4</v>
      </c>
      <c r="CJ38" s="24">
        <f t="shared" ref="CJ38" si="487">SUM(CJ36,CJ37)</f>
        <v>1</v>
      </c>
      <c r="CL38" s="11" t="str">
        <f t="shared" si="408"/>
        <v>Estonie</v>
      </c>
      <c r="CM38" s="12">
        <f t="shared" ref="CM38" si="488">-CQ34</f>
        <v>-6</v>
      </c>
      <c r="CN38" s="37">
        <f t="shared" ref="CN38" si="489">-CQ35</f>
        <v>0</v>
      </c>
      <c r="CO38" s="37">
        <f t="shared" ref="CO38" si="490">-CQ36</f>
        <v>0</v>
      </c>
      <c r="CP38" s="37">
        <f t="shared" ref="CP38" si="491">-CQ37</f>
        <v>-6</v>
      </c>
      <c r="CQ38" s="27"/>
      <c r="CR38" s="41">
        <f t="shared" ref="CR38" si="492">AA38+AG39-(Z39+AH38)</f>
        <v>3</v>
      </c>
      <c r="CT38" s="8" t="str">
        <f t="shared" si="414"/>
        <v>Estonie</v>
      </c>
      <c r="CU38" s="51">
        <f>$DK38+0.01*CM38+0.0001*(BP38+CA34)+0.000001*CA34</f>
        <v>9.94</v>
      </c>
      <c r="CV38" s="51">
        <f>$DK38+0.01*CN38+0.0001*(BQ38+CA35)+0.000001*CA35</f>
        <v>10.0001</v>
      </c>
      <c r="CW38" s="51">
        <f>$DK38+0.01*CO38+0.0001*(BR38+CA36)+0.000001*CA36</f>
        <v>10.0001</v>
      </c>
      <c r="CX38" s="51">
        <f>$DK38+0.01*CP38+0.0001*(BS38+CA37)+0.000001*CA37</f>
        <v>9.94</v>
      </c>
      <c r="CY38" s="47"/>
      <c r="CZ38" s="52">
        <f>$DK38+0.01*CR38+0.0001*(BU38+CA39)+0.000001*CA39</f>
        <v>10.030199999999999</v>
      </c>
      <c r="DB38" s="19" t="str">
        <f t="shared" si="415"/>
        <v>Estonie</v>
      </c>
      <c r="DC38" s="3" t="str">
        <f t="shared" ref="DC38" si="493">IF(CZ38&gt;=CY39,CT38,CT39)</f>
        <v>Estonie</v>
      </c>
      <c r="DJ38" s="63" t="str">
        <f t="shared" si="421"/>
        <v>Estonie</v>
      </c>
      <c r="DK38" s="66">
        <f t="shared" ref="DK38" si="494">AO36</f>
        <v>10</v>
      </c>
      <c r="DL38" s="73">
        <f>COUNTIF(DC34:DG38,C38)</f>
        <v>1</v>
      </c>
      <c r="DM38" s="11" t="str">
        <f t="shared" si="423"/>
        <v>Estonie</v>
      </c>
      <c r="DN38" s="45"/>
      <c r="DO38" s="11">
        <v>5</v>
      </c>
      <c r="DP38" s="69" t="str">
        <f>VLOOKUP(1,DL34:DM39,2,FALSE)</f>
        <v>Estonie</v>
      </c>
      <c r="DQ38" s="11">
        <v>5</v>
      </c>
      <c r="DR38" s="11">
        <f t="shared" ref="DR38" si="495">VLOOKUP(DP38,U34:AB39,8,FALSE)</f>
        <v>5</v>
      </c>
      <c r="DS38" s="45"/>
    </row>
    <row r="39" spans="2:123" ht="15.75" customHeight="1" thickBot="1" x14ac:dyDescent="0.3">
      <c r="B39" s="567"/>
      <c r="C39" s="307" t="s">
        <v>59</v>
      </c>
      <c r="D39" s="187" t="s">
        <v>159</v>
      </c>
      <c r="E39" s="188" t="s">
        <v>32</v>
      </c>
      <c r="F39" s="188" t="s">
        <v>32</v>
      </c>
      <c r="G39" s="188" t="s">
        <v>28</v>
      </c>
      <c r="H39" s="188" t="s">
        <v>13</v>
      </c>
      <c r="I39" s="164"/>
      <c r="U39" s="15" t="str">
        <f t="shared" si="395"/>
        <v>Saint-Marrin</v>
      </c>
      <c r="V39" s="16">
        <f>IF(OR(D39="-",D39=""),0,IF(MID(D39,1,1)&gt;MID(D39,3,1),3,        IF(MID(D39,1,1)=MID(D39,3,1),1,         IF(MID(D39,1,1)&lt;MID(D39,3,1),0)        )))</f>
        <v>0</v>
      </c>
      <c r="W39" s="17">
        <f>IF(OR(E39="-",E39=""),0,IF(MID(E39,1,1)&gt;MID(E39,3,1),3,        IF(MID(E39,1,1)=MID(E39,3,1),1,         IF(MID(E39,1,1)&lt;MID(E39,3,1),0)        )))</f>
        <v>0</v>
      </c>
      <c r="X39" s="17">
        <f>IF(OR(F39="-",F39=""),0,IF(MID(F39,1,1)&gt;MID(F39,3,1),3,        IF(MID(F39,1,1)=MID(F39,3,1),1,         IF(MID(F39,1,1)&lt;MID(F39,3,1),0)        )))</f>
        <v>0</v>
      </c>
      <c r="Y39" s="17">
        <f>IF(OR(G39="-",G39=""),0,IF(MID(G39,1,1)&gt;MID(G39,3,1),3,        IF(MID(G39,1,1)=MID(G39,3,1),1,         IF(MID(G39,1,1)&lt;MID(G39,3,1),0)        )))</f>
        <v>0</v>
      </c>
      <c r="Z39" s="17">
        <f>IF(OR(H39="-",H39=""),0,IF(MID(H39,1,1)&gt;MID(H39,3,1),3,        IF(MID(H39,1,1)=MID(H39,3,1),1,         IF(MID(H39,1,1)&lt;MID(H39,3,1),0)        )))</f>
        <v>1</v>
      </c>
      <c r="AA39" s="28"/>
      <c r="AB39" s="3">
        <v>6</v>
      </c>
      <c r="AC39" s="23">
        <f>IF(OR(D39="-",D39=""),0,IF(MID(D39,3,1)&gt;MID(D39,1,1),3,        IF(MID(D39,3,1)=MID(D39,1,1),1,         IF(MID(D39,3,1)&lt;MID(D39,1,1),0)        )))</f>
        <v>3</v>
      </c>
      <c r="AD39" s="17">
        <f>IF(OR(E39="-",E39=""),0,IF(MID(E39,3,1)&gt;MID(E39,1,1),3,        IF(MID(E39,3,1)=MID(E39,1,1),1,         IF(MID(E39,3,1)&lt;MID(E39,1,1),0)        )))</f>
        <v>3</v>
      </c>
      <c r="AE39" s="17">
        <f>IF(OR(F39="-",F39=""),0,IF(MID(F39,3,1)&gt;MID(F39,1,1),3,        IF(MID(F39,3,1)=MID(F39,1,1),1,         IF(MID(F39,3,1)&lt;MID(F39,1,1),0)        )))</f>
        <v>3</v>
      </c>
      <c r="AF39" s="17">
        <f>IF(OR(G39="-",G39=""),0,IF(MID(G39,3,1)&gt;MID(G39,1,1),3,        IF(MID(G39,3,1)=MID(G39,1,1),1,         IF(MID(G39,3,1)&lt;MID(G39,1,1),0)        )))</f>
        <v>3</v>
      </c>
      <c r="AG39" s="17">
        <f>IF(OR(H39="-",H39=""),0,IF(MID(H39,3,1)&gt;MID(H39,1,1),3,        IF(MID(H39,3,1)=MID(H39,1,1),1,         IF(MID(H39,3,1)&lt;MID(H39,1,1),0)        )))</f>
        <v>1</v>
      </c>
      <c r="AH39" s="28"/>
      <c r="AI39" s="36"/>
      <c r="AJ39" s="77"/>
      <c r="AR39" s="15" t="str">
        <f t="shared" si="396"/>
        <v>Saint-Marrin</v>
      </c>
      <c r="AS39" s="16">
        <f t="shared" si="426"/>
        <v>-6</v>
      </c>
      <c r="AT39" s="16">
        <f t="shared" si="446"/>
        <v>-2</v>
      </c>
      <c r="AU39" s="16">
        <f t="shared" si="461"/>
        <v>-2</v>
      </c>
      <c r="AV39" s="16">
        <f t="shared" si="480"/>
        <v>-4</v>
      </c>
      <c r="AW39" s="16">
        <f t="shared" ref="AW39" si="496">BT39-CA39</f>
        <v>0</v>
      </c>
      <c r="AX39" s="82"/>
      <c r="AY39" s="45"/>
      <c r="AZ39" s="23">
        <f t="shared" si="427"/>
        <v>6</v>
      </c>
      <c r="BA39" s="17">
        <f t="shared" si="447"/>
        <v>2</v>
      </c>
      <c r="BB39" s="17">
        <f t="shared" si="462"/>
        <v>2</v>
      </c>
      <c r="BC39" s="17">
        <f t="shared" si="481"/>
        <v>4</v>
      </c>
      <c r="BD39" s="17">
        <f t="shared" ref="BD39" si="497">CA39-BT39</f>
        <v>0</v>
      </c>
      <c r="BE39" s="28"/>
      <c r="BF39" s="77"/>
      <c r="BG39" s="77"/>
      <c r="BI39" s="77"/>
      <c r="BK39" s="77"/>
      <c r="BM39" s="77"/>
      <c r="BO39" s="15" t="str">
        <f t="shared" si="407"/>
        <v>Saint-Marrin</v>
      </c>
      <c r="BP39" s="16">
        <f>IF(OR(D39="-",D39=""),0,_xlfn.NUMBERVALUE(MID(D39,1,1)))</f>
        <v>0</v>
      </c>
      <c r="BQ39" s="17">
        <f>IF(OR(E39="-",E39=""),0,_xlfn.NUMBERVALUE(MID(E39,1,1)))</f>
        <v>0</v>
      </c>
      <c r="BR39" s="17">
        <f>IF(OR(F39="-",F39=""),0,_xlfn.NUMBERVALUE(MID(F39,1,1)))</f>
        <v>0</v>
      </c>
      <c r="BS39" s="17">
        <f>IF(OR(G39="-",G39=""),0,_xlfn.NUMBERVALUE(MID(G39,1,1)))</f>
        <v>0</v>
      </c>
      <c r="BT39" s="17">
        <f>IF(OR(H39="-",H39=""),0,_xlfn.NUMBERVALUE(MID(H39,1,1)))</f>
        <v>0</v>
      </c>
      <c r="BU39" s="28"/>
      <c r="BV39" s="18"/>
      <c r="BW39" s="34">
        <f>IF(OR(D39="-",D39=""),0,_xlfn.NUMBERVALUE(MID(D39,3,1)))</f>
        <v>6</v>
      </c>
      <c r="BX39" s="32">
        <f>IF(OR(E39="-",E39=""),0,_xlfn.NUMBERVALUE(MID(E39,3,1)))</f>
        <v>2</v>
      </c>
      <c r="BY39" s="32">
        <f>IF(OR(F39="-",F39=""),0,_xlfn.NUMBERVALUE(MID(F39,3,1)))</f>
        <v>2</v>
      </c>
      <c r="BZ39" s="32">
        <f>IF(OR(G39="-",G39=""),0,_xlfn.NUMBERVALUE(MID(G39,3,1)))</f>
        <v>4</v>
      </c>
      <c r="CA39" s="32">
        <f>IF(OR(H39="-",H39=""),0,_xlfn.NUMBERVALUE(MID(H39,3,1)))</f>
        <v>0</v>
      </c>
      <c r="CB39" s="28"/>
      <c r="CL39" s="15" t="str">
        <f t="shared" si="408"/>
        <v>Saint-Marrin</v>
      </c>
      <c r="CM39" s="16">
        <f t="shared" ref="CM39" si="498">-CR34</f>
        <v>-6</v>
      </c>
      <c r="CN39" s="17">
        <f t="shared" ref="CN39" si="499">-CR35</f>
        <v>-6</v>
      </c>
      <c r="CO39" s="17">
        <f t="shared" ref="CO39" si="500">-CR36</f>
        <v>-6</v>
      </c>
      <c r="CP39" s="17">
        <f t="shared" ref="CP39" si="501">-CR37</f>
        <v>-6</v>
      </c>
      <c r="CQ39" s="17">
        <f t="shared" ref="CQ39" si="502">-CR38</f>
        <v>-3</v>
      </c>
      <c r="CR39" s="28"/>
      <c r="CT39" s="8" t="str">
        <f t="shared" si="414"/>
        <v>Saint-Marrin</v>
      </c>
      <c r="CU39" s="51">
        <f>$DK39+0.01*CM39+0.0001*(BP39+CB34)+0.000001*CB34</f>
        <v>0.94</v>
      </c>
      <c r="CV39" s="51">
        <f>$DK39+0.01*CN39+0.0001*(BQ39+CB35)+0.000001*CB35</f>
        <v>0.94</v>
      </c>
      <c r="CW39" s="51">
        <f>$DK39+0.01*CO39+0.0001*(BR39+CB36)+0.000001*CB36</f>
        <v>0.94010099999999996</v>
      </c>
      <c r="CX39" s="51">
        <f>$DK39+0.01*CP39+0.0001*(BS39+CB37)+0.000001*CB37</f>
        <v>0.94</v>
      </c>
      <c r="CY39" s="51">
        <f>$DK39+0.01*CQ39+0.0001*(BT39+CB38)+0.000001*CB38</f>
        <v>0.97</v>
      </c>
      <c r="CZ39" s="55"/>
      <c r="DJ39" s="64" t="str">
        <f t="shared" si="421"/>
        <v>Saint-Marrin</v>
      </c>
      <c r="DK39" s="67">
        <f t="shared" ref="DK39" si="503">AP36</f>
        <v>1</v>
      </c>
      <c r="DL39" s="74">
        <f>COUNTIF(DC34:DG38,C39)</f>
        <v>0</v>
      </c>
      <c r="DM39" s="15" t="str">
        <f t="shared" si="423"/>
        <v>Saint-Marrin</v>
      </c>
      <c r="DN39" s="45"/>
      <c r="DO39" s="15">
        <v>6</v>
      </c>
      <c r="DP39" s="70" t="str">
        <f>VLOOKUP(0,DL34:DM39,2,FALSE)</f>
        <v>Saint-Marrin</v>
      </c>
      <c r="DQ39" s="15">
        <v>6</v>
      </c>
      <c r="DR39" s="15">
        <f t="shared" ref="DR39" si="504">VLOOKUP(DP39,U34:AB39,8,FALSE)</f>
        <v>6</v>
      </c>
      <c r="DS39" s="45"/>
    </row>
    <row r="40" spans="2:123" ht="15.75" customHeight="1" thickBot="1" x14ac:dyDescent="0.3">
      <c r="T40" s="45"/>
      <c r="U40" s="45"/>
      <c r="V40" s="18"/>
      <c r="W40" s="18"/>
      <c r="X40" s="18"/>
      <c r="Y40" s="18"/>
      <c r="Z40" s="18"/>
      <c r="AA40" s="18"/>
      <c r="AC40" s="30" t="str">
        <f t="shared" ref="AC40:AH40" si="505">M5</f>
        <v>Irlande du Nord</v>
      </c>
      <c r="AD40" s="6" t="str">
        <f t="shared" si="505"/>
        <v>Roumanie</v>
      </c>
      <c r="AE40" s="6" t="str">
        <f t="shared" si="505"/>
        <v>Finlande</v>
      </c>
      <c r="AF40" s="6" t="str">
        <f t="shared" si="505"/>
        <v>Hongrie</v>
      </c>
      <c r="AG40" s="6" t="str">
        <f t="shared" si="505"/>
        <v>Grèce</v>
      </c>
      <c r="AH40" s="7" t="str">
        <f t="shared" si="505"/>
        <v>Îles Féroé</v>
      </c>
      <c r="AI40" s="36"/>
      <c r="AJ40" s="45"/>
      <c r="AQ40" s="45"/>
      <c r="AR40" s="45"/>
      <c r="AS40" s="45"/>
      <c r="AT40" s="45"/>
      <c r="AU40" s="45"/>
      <c r="AV40" s="45"/>
      <c r="AW40" s="45"/>
      <c r="AX40" s="45"/>
      <c r="AY40" s="45"/>
      <c r="AZ40" s="83" t="str">
        <f t="shared" ref="AZ40:BE40" si="506">M5</f>
        <v>Irlande du Nord</v>
      </c>
      <c r="BA40" s="84" t="str">
        <f t="shared" si="506"/>
        <v>Roumanie</v>
      </c>
      <c r="BB40" s="84" t="str">
        <f t="shared" si="506"/>
        <v>Finlande</v>
      </c>
      <c r="BC40" s="84" t="str">
        <f t="shared" si="506"/>
        <v>Hongrie</v>
      </c>
      <c r="BD40" s="84" t="str">
        <f t="shared" si="506"/>
        <v>Grèce</v>
      </c>
      <c r="BE40" s="85" t="str">
        <f t="shared" si="506"/>
        <v>Îles Féroé</v>
      </c>
      <c r="BF40" s="77"/>
      <c r="BG40" s="77"/>
      <c r="BI40" s="77"/>
      <c r="BK40" s="77"/>
      <c r="BM40" s="77"/>
      <c r="BO40" s="35"/>
      <c r="BP40" s="18"/>
      <c r="BQ40" s="18"/>
      <c r="BR40" s="18"/>
      <c r="BS40" s="18"/>
      <c r="BT40" s="18"/>
      <c r="BU40" s="18"/>
      <c r="BV40" s="18"/>
      <c r="BW40" s="30" t="str">
        <f t="shared" ref="BW40:CB40" si="507">M5</f>
        <v>Irlande du Nord</v>
      </c>
      <c r="BX40" s="6" t="str">
        <f t="shared" si="507"/>
        <v>Roumanie</v>
      </c>
      <c r="BY40" s="6" t="str">
        <f t="shared" si="507"/>
        <v>Finlande</v>
      </c>
      <c r="BZ40" s="6" t="str">
        <f t="shared" si="507"/>
        <v>Hongrie</v>
      </c>
      <c r="CA40" s="6" t="str">
        <f t="shared" si="507"/>
        <v>Grèce</v>
      </c>
      <c r="CB40" s="7" t="str">
        <f t="shared" si="507"/>
        <v>Îles Féroé</v>
      </c>
      <c r="CL40" s="35"/>
      <c r="CM40" s="30" t="str">
        <f t="shared" ref="CM40:CR40" si="508">M5</f>
        <v>Irlande du Nord</v>
      </c>
      <c r="CN40" s="6" t="str">
        <f t="shared" si="508"/>
        <v>Roumanie</v>
      </c>
      <c r="CO40" s="6" t="str">
        <f t="shared" si="508"/>
        <v>Finlande</v>
      </c>
      <c r="CP40" s="6" t="str">
        <f t="shared" si="508"/>
        <v>Hongrie</v>
      </c>
      <c r="CQ40" s="6" t="str">
        <f t="shared" si="508"/>
        <v>Grèce</v>
      </c>
      <c r="CR40" s="7" t="str">
        <f t="shared" si="508"/>
        <v>Îles Féroé</v>
      </c>
      <c r="CT40" s="49"/>
      <c r="CU40" s="30" t="str">
        <f t="shared" ref="CU40:CZ40" si="509">M5</f>
        <v>Irlande du Nord</v>
      </c>
      <c r="CV40" s="6" t="str">
        <f t="shared" si="509"/>
        <v>Roumanie</v>
      </c>
      <c r="CW40" s="6" t="str">
        <f t="shared" si="509"/>
        <v>Finlande</v>
      </c>
      <c r="CX40" s="6" t="str">
        <f t="shared" si="509"/>
        <v>Hongrie</v>
      </c>
      <c r="CY40" s="6" t="str">
        <f t="shared" si="509"/>
        <v>Grèce</v>
      </c>
      <c r="CZ40" s="7" t="str">
        <f t="shared" si="509"/>
        <v>Îles Féroé</v>
      </c>
      <c r="DC40" s="56" t="str">
        <f t="shared" ref="DC40" si="510">CZ40</f>
        <v>Îles Féroé</v>
      </c>
      <c r="DD40" s="57" t="str">
        <f t="shared" ref="DD40" si="511">CY40</f>
        <v>Grèce</v>
      </c>
      <c r="DE40" s="57" t="str">
        <f t="shared" ref="DE40" si="512">CX40</f>
        <v>Hongrie</v>
      </c>
      <c r="DF40" s="57" t="str">
        <f t="shared" ref="DF40" si="513">CW40</f>
        <v>Finlande</v>
      </c>
      <c r="DG40" s="58" t="str">
        <f t="shared" ref="DG40" si="514">CV40</f>
        <v>Roumanie</v>
      </c>
      <c r="DJ40" s="43"/>
      <c r="DK40" s="43"/>
      <c r="DM40" s="45"/>
      <c r="DN40" s="45"/>
      <c r="DS40" s="45"/>
    </row>
    <row r="41" spans="2:123" ht="15.75" customHeight="1" thickBot="1" x14ac:dyDescent="0.3">
      <c r="U41" s="25" t="str">
        <f t="shared" ref="U41:U46" si="515">L6</f>
        <v>Irlande du Nord</v>
      </c>
      <c r="V41" s="26"/>
      <c r="W41" s="20">
        <f>IF(OR(N6="-",N6=""),0,IF(MID(N6,1,1)&gt;MID(N6,3,1),3,        IF(MID(N6,1,1)=MID(N6,3,1),1,         IF(MID(N6,1,1)&lt;MID(N6,3,1),0)        )))</f>
        <v>1</v>
      </c>
      <c r="X41" s="20">
        <f>IF(OR(O6="-",O6=""),0,IF(MID(O6,1,1)&gt;MID(O6,3,1),3,        IF(MID(O6,1,1)=MID(O6,3,1),1,         IF(MID(O6,1,1)&lt;MID(O6,3,1),0)        )))</f>
        <v>3</v>
      </c>
      <c r="Y41" s="20">
        <f>IF(OR(P6="-",P6=""),0,IF(MID(P6,1,1)&gt;MID(P6,3,1),3,        IF(MID(P6,1,1)=MID(P6,3,1),1,         IF(MID(P6,1,1)&lt;MID(P6,3,1),0)        )))</f>
        <v>1</v>
      </c>
      <c r="Z41" s="20">
        <f>IF(OR(Q6="-",Q6=""),0,IF(MID(Q6,1,1)&gt;MID(Q6,3,1),3,        IF(MID(Q6,1,1)=MID(Q6,3,1),1,         IF(MID(Q6,1,1)&lt;MID(Q6,3,1),0)        )))</f>
        <v>3</v>
      </c>
      <c r="AA41" s="21">
        <f>IF(OR(R6="-",R6=""),0,IF(MID(R6,1,1)&gt;MID(R6,3,1),3,        IF(MID(R6,1,1)=MID(R6,3,1),1,         IF(MID(R6,1,1)&lt;MID(R6,3,1),0)        )))</f>
        <v>3</v>
      </c>
      <c r="AB41" s="3">
        <v>1</v>
      </c>
      <c r="AC41" s="29"/>
      <c r="AD41" s="9">
        <f>IF(OR(N6="-",N6=""),0,IF(MID(N6,3,1)&gt;MID(N6,1,1),3,        IF(MID(N6,3,1)=MID(N6,1,1),1,         IF(MID(N6,3,1)&lt;MID(N6,1,1),0)        )))</f>
        <v>1</v>
      </c>
      <c r="AE41" s="9">
        <f>IF(OR(O6="-",O6=""),0,IF(MID(O6,3,1)&gt;MID(O6,1,1),3,        IF(MID(O6,3,1)=MID(O6,1,1),1,         IF(MID(O6,3,1)&lt;MID(O6,1,1),0)        )))</f>
        <v>0</v>
      </c>
      <c r="AF41" s="9">
        <f>IF(OR(P6="-",P6=""),0,IF(MID(P6,3,1)&gt;MID(P6,1,1),3,        IF(MID(P6,3,1)=MID(P6,1,1),1,         IF(MID(P6,3,1)&lt;MID(P6,1,1),0)        )))</f>
        <v>1</v>
      </c>
      <c r="AG41" s="9">
        <f>IF(OR(Q6="-",Q6=""),0,IF(MID(Q6,3,1)&gt;MID(Q6,1,1),3,        IF(MID(Q6,3,1)=MID(Q6,1,1),1,         IF(MID(Q6,3,1)&lt;MID(Q6,1,1),0)        )))</f>
        <v>0</v>
      </c>
      <c r="AH41" s="10">
        <f>IF(OR(R6="-",R6=""),0,IF(MID(R6,3,1)&gt;MID(R6,1,1),3,        IF(MID(R6,3,1)=MID(R6,1,1),1,         IF(MID(R6,3,1)&lt;MID(R6,1,1),0)        )))</f>
        <v>0</v>
      </c>
      <c r="AI41" s="36"/>
      <c r="AJ41" s="45"/>
      <c r="AK41" s="525" t="s">
        <v>94</v>
      </c>
      <c r="AL41" s="526"/>
      <c r="AM41" s="526"/>
      <c r="AN41" s="526"/>
      <c r="AO41" s="526"/>
      <c r="AP41" s="527"/>
      <c r="AQ41" s="18"/>
      <c r="AR41" s="25" t="str">
        <f t="shared" ref="AR41:AR46" si="516">L6</f>
        <v>Irlande du Nord</v>
      </c>
      <c r="AS41" s="26"/>
      <c r="AT41" s="81">
        <f t="shared" ref="AT41" si="517">BQ41-BX41</f>
        <v>0</v>
      </c>
      <c r="AU41" s="81">
        <f t="shared" ref="AU41:AU42" si="518">BR41-BY41</f>
        <v>1</v>
      </c>
      <c r="AV41" s="81">
        <f t="shared" ref="AV41:AV43" si="519">BS41-BZ41</f>
        <v>0</v>
      </c>
      <c r="AW41" s="81">
        <f t="shared" ref="AW41:AW44" si="520">BT41-CA41</f>
        <v>2</v>
      </c>
      <c r="AX41" s="68">
        <f t="shared" ref="AX41:AX45" si="521">BU41-CB41</f>
        <v>2</v>
      </c>
      <c r="AY41" s="45"/>
      <c r="AZ41" s="86"/>
      <c r="BA41" s="20">
        <f t="shared" ref="BA41" si="522">BX41-BQ41</f>
        <v>0</v>
      </c>
      <c r="BB41" s="20">
        <f t="shared" ref="BB41:BB42" si="523">BY41-BR41</f>
        <v>-1</v>
      </c>
      <c r="BC41" s="20">
        <f t="shared" ref="BC41:BC43" si="524">BZ41-BS41</f>
        <v>0</v>
      </c>
      <c r="BD41" s="20">
        <f t="shared" ref="BD41:BD44" si="525">CA41-BT41</f>
        <v>-2</v>
      </c>
      <c r="BE41" s="21">
        <f t="shared" ref="BE41:BE45" si="526">CB41-BU41</f>
        <v>-2</v>
      </c>
      <c r="BF41" s="77"/>
      <c r="BO41" s="25" t="str">
        <f t="shared" ref="BO41:BO46" si="527">L6</f>
        <v>Irlande du Nord</v>
      </c>
      <c r="BP41" s="26"/>
      <c r="BQ41" s="20">
        <f>IF(OR(N6="-",N6=""),0,_xlfn.NUMBERVALUE(MID(N6,1,1)))</f>
        <v>0</v>
      </c>
      <c r="BR41" s="20">
        <f>IF(OR(O6="-",O6=""),0,_xlfn.NUMBERVALUE(MID(O6,1,1)))</f>
        <v>2</v>
      </c>
      <c r="BS41" s="20">
        <f>IF(OR(P6="-",P6=""),0,_xlfn.NUMBERVALUE(MID(P6,1,1)))</f>
        <v>1</v>
      </c>
      <c r="BT41" s="20">
        <f>IF(OR(Q6="-",Q6=""),0,_xlfn.NUMBERVALUE(MID(Q6,1,1)))</f>
        <v>3</v>
      </c>
      <c r="BU41" s="21">
        <f>IF(OR(R6="-",R6=""),0,_xlfn.NUMBERVALUE(MID(R6,1,1)))</f>
        <v>2</v>
      </c>
      <c r="BV41" s="18"/>
      <c r="BW41" s="29"/>
      <c r="BX41" s="9">
        <f>IF(OR(N6="-",N6=""),0,_xlfn.NUMBERVALUE(MID(N6,3,1)))</f>
        <v>0</v>
      </c>
      <c r="BY41" s="9">
        <f>IF(OR(O6="-",O6=""),0,_xlfn.NUMBERVALUE(MID(O6,3,1)))</f>
        <v>1</v>
      </c>
      <c r="BZ41" s="9">
        <f>IF(OR(P6="-",P6=""),0,_xlfn.NUMBERVALUE(MID(P6,3,1)))</f>
        <v>1</v>
      </c>
      <c r="CA41" s="9">
        <f>IF(OR(Q6="-",Q6=""),0,_xlfn.NUMBERVALUE(MID(Q6,3,1)))</f>
        <v>1</v>
      </c>
      <c r="CB41" s="10">
        <f>IF(OR(R6="-",R6=""),0,_xlfn.NUMBERVALUE(MID(R6,3,1)))</f>
        <v>0</v>
      </c>
      <c r="CE41" s="525" t="s">
        <v>90</v>
      </c>
      <c r="CF41" s="526"/>
      <c r="CG41" s="526"/>
      <c r="CH41" s="526"/>
      <c r="CI41" s="526"/>
      <c r="CJ41" s="527"/>
      <c r="CL41" s="25" t="str">
        <f t="shared" ref="CL41:CL46" si="528">L6</f>
        <v>Irlande du Nord</v>
      </c>
      <c r="CM41" s="46"/>
      <c r="CN41" s="9">
        <f>W41+AC42-(V42+AD41)</f>
        <v>-3</v>
      </c>
      <c r="CO41" s="9">
        <f>X41+AC43-(V43+AE41)</f>
        <v>3</v>
      </c>
      <c r="CP41" s="9">
        <f>Y41+AC44-(V44+AF41)</f>
        <v>3</v>
      </c>
      <c r="CQ41" s="9">
        <f>Z41+AC45-(V45+AG41)</f>
        <v>6</v>
      </c>
      <c r="CR41" s="10">
        <f>AC46+AA41-(V46+AH41)</f>
        <v>6</v>
      </c>
      <c r="CT41" s="8" t="str">
        <f t="shared" ref="CT41:CT46" si="529">L6</f>
        <v>Irlande du Nord</v>
      </c>
      <c r="CU41" s="47"/>
      <c r="CV41" s="51">
        <f>$DK41+0.01*CN41+0.0001*(BQ41+BW42)+0.000001*BW42</f>
        <v>20.97</v>
      </c>
      <c r="CW41" s="51">
        <f>$DK41+0.01*CO41+0.0001*(BR41+BW43)+0.000001*BW43</f>
        <v>21.030301000000001</v>
      </c>
      <c r="CX41" s="51">
        <f>$DK41+0.01*CP41+0.0001*(BS41+BW44)+0.000001*BW44</f>
        <v>21.030301999999999</v>
      </c>
      <c r="CY41" s="51">
        <f>$DK41+0.01*CQ41+0.0001*(BT41+BW45)+0.000001*BW45</f>
        <v>21.060501999999996</v>
      </c>
      <c r="CZ41" s="52">
        <f>$DK41+0.01*CR41+0.0001*(BU41+BW46)+0.000001*BW46</f>
        <v>21.060502999999997</v>
      </c>
      <c r="DB41" s="60" t="str">
        <f t="shared" ref="DB41:DB45" si="530">CT41</f>
        <v>Irlande du Nord</v>
      </c>
      <c r="DC41" s="3" t="str">
        <f>IF(CZ41&gt;=CU46,CT41,CT46)</f>
        <v>Irlande du Nord</v>
      </c>
      <c r="DD41" s="3" t="str">
        <f>IF(CY41&gt;=CU45,CT41,CT45)</f>
        <v>Irlande du Nord</v>
      </c>
      <c r="DE41" s="3" t="str">
        <f>IF(CX41&gt;=CU44,CT41,CT44)</f>
        <v>Irlande du Nord</v>
      </c>
      <c r="DF41" s="3" t="str">
        <f>IF(CW41&gt;=CU43,CT41,CT43)</f>
        <v>Irlande du Nord</v>
      </c>
      <c r="DG41" s="3" t="str">
        <f>IF(CV41&gt;=CU42,CT41,CT42)</f>
        <v>Irlande du Nord</v>
      </c>
      <c r="DJ41" s="62" t="str">
        <f t="shared" ref="DJ41:DJ46" si="531">L6</f>
        <v>Irlande du Nord</v>
      </c>
      <c r="DK41" s="65">
        <f>AK43</f>
        <v>21</v>
      </c>
      <c r="DL41" s="72">
        <f>COUNTIF(DC41:DG45,L6)</f>
        <v>5</v>
      </c>
      <c r="DM41" s="25" t="str">
        <f t="shared" ref="DM41:DM46" si="532">L6</f>
        <v>Irlande du Nord</v>
      </c>
      <c r="DN41" s="45"/>
      <c r="DO41" s="25">
        <v>1</v>
      </c>
      <c r="DP41" s="68" t="str">
        <f>VLOOKUP(5,DL41:DM46,2,FALSE)</f>
        <v>Irlande du Nord</v>
      </c>
      <c r="DQ41" s="25">
        <v>1</v>
      </c>
      <c r="DR41" s="25">
        <f>VLOOKUP(DP41,U41:AB46,8,FALSE)</f>
        <v>1</v>
      </c>
      <c r="DS41" s="45"/>
    </row>
    <row r="42" spans="2:123" ht="15.75" customHeight="1" thickBot="1" x14ac:dyDescent="0.3">
      <c r="U42" s="11" t="str">
        <f t="shared" si="515"/>
        <v>Roumanie</v>
      </c>
      <c r="V42" s="12">
        <f>IF(OR(M7="-",M7=""),0,IF(MID(M7,1,1)&gt;MID(M7,3,1),3,        IF(MID(M7,1,1)=MID(M7,3,1),1,         IF(MID(M7,1,1)&lt;MID(M7,3,1),0)        )))</f>
        <v>3</v>
      </c>
      <c r="W42" s="27"/>
      <c r="X42" s="13">
        <f>IF(OR(O7="-",O7=""),0,IF(MID(O7,1,1)&gt;MID(O7,3,1),3,        IF(MID(O7,1,1)=MID(O7,3,1),1,         IF(MID(O7,1,1)&lt;MID(O7,3,1),0)        )))</f>
        <v>1</v>
      </c>
      <c r="Y42" s="13">
        <f>IF(OR(P7="-",P7=""),0,IF(MID(P7,1,1)&gt;MID(P7,3,1),3,        IF(MID(P7,1,1)=MID(P7,3,1),1,         IF(MID(P7,1,1)&lt;MID(P7,3,1),0)        )))</f>
        <v>1</v>
      </c>
      <c r="Z42" s="13">
        <f>IF(OR(Q7="-",Q7=""),0,IF(MID(Q7,1,1)&gt;MID(Q7,3,1),3,        IF(MID(Q7,1,1)=MID(Q7,3,1),1,         IF(MID(Q7,1,1)&lt;MID(Q7,3,1),0)        )))</f>
        <v>1</v>
      </c>
      <c r="AA42" s="14">
        <f>IF(OR(R7="-",R7=""),0,IF(MID(R7,1,1)&gt;MID(R7,3,1),3,        IF(MID(R7,1,1)=MID(R7,3,1),1,         IF(MID(R7,1,1)&lt;MID(R7,3,1),0)        )))</f>
        <v>3</v>
      </c>
      <c r="AB42" s="3">
        <v>2</v>
      </c>
      <c r="AC42" s="22">
        <f>IF(OR(M7="-",M7=""),0,IF(MID(M7,3,1)&gt;MID(M7,1,1),3,        IF(MID(M7,3,1)=MID(M7,1,1),1,         IF(MID(M7,3,1)&lt;MID(M7,1,1),0)        )))</f>
        <v>0</v>
      </c>
      <c r="AD42" s="27"/>
      <c r="AE42" s="13">
        <f>IF(OR(O7="-",O7=""),0,IF(MID(O7,3,1)&gt;MID(O7,1,1),3,        IF(MID(O7,3,1)=MID(O7,1,1),1,         IF(MID(O7,3,1)&lt;MID(O7,1,1),0)        )))</f>
        <v>1</v>
      </c>
      <c r="AF42" s="13">
        <f>IF(OR(P7="-",P7=""),0,IF(MID(P7,3,1)&gt;MID(P7,1,1),3,        IF(MID(P7,3,1)=MID(P7,1,1),1,         IF(MID(P7,3,1)&lt;MID(P7,1,1),0)        )))</f>
        <v>1</v>
      </c>
      <c r="AG42" s="13">
        <f>IF(OR(Q7="-",Q7=""),0,IF(MID(Q7,3,1)&gt;MID(Q7,1,1),3,        IF(MID(Q7,3,1)=MID(Q7,1,1),1,         IF(MID(Q7,3,1)&lt;MID(Q7,1,1),0)        )))</f>
        <v>1</v>
      </c>
      <c r="AH42" s="14">
        <f>IF(OR(R7="-",R7=""),0,IF(MID(R7,3,1)&gt;MID(R7,1,1),3,        IF(MID(R7,3,1)=MID(R7,1,1),1,         IF(MID(R7,3,1)&lt;MID(R7,1,1),0)        )))</f>
        <v>0</v>
      </c>
      <c r="AI42" s="36"/>
      <c r="AJ42" s="77"/>
      <c r="AK42" s="31" t="str">
        <f t="shared" ref="AK42:AP42" si="533">M5</f>
        <v>Irlande du Nord</v>
      </c>
      <c r="AL42" s="9" t="str">
        <f t="shared" si="533"/>
        <v>Roumanie</v>
      </c>
      <c r="AM42" s="9" t="str">
        <f t="shared" si="533"/>
        <v>Finlande</v>
      </c>
      <c r="AN42" s="9" t="str">
        <f t="shared" si="533"/>
        <v>Hongrie</v>
      </c>
      <c r="AO42" s="9" t="str">
        <f t="shared" si="533"/>
        <v>Grèce</v>
      </c>
      <c r="AP42" s="10" t="str">
        <f t="shared" si="533"/>
        <v>Îles Féroé</v>
      </c>
      <c r="AQ42" s="18"/>
      <c r="AR42" s="11" t="str">
        <f t="shared" si="516"/>
        <v>Roumanie</v>
      </c>
      <c r="AS42" s="12">
        <f t="shared" ref="AS42:AS46" si="534">BP42-BW42</f>
        <v>2</v>
      </c>
      <c r="AT42" s="80"/>
      <c r="AU42" s="12">
        <f t="shared" si="518"/>
        <v>0</v>
      </c>
      <c r="AV42" s="12">
        <f t="shared" si="519"/>
        <v>0</v>
      </c>
      <c r="AW42" s="12">
        <f t="shared" si="520"/>
        <v>0</v>
      </c>
      <c r="AX42" s="69">
        <f t="shared" si="521"/>
        <v>1</v>
      </c>
      <c r="AY42" s="45"/>
      <c r="AZ42" s="22">
        <f t="shared" ref="AZ42:AZ46" si="535">BW42-BP42</f>
        <v>-2</v>
      </c>
      <c r="BA42" s="27"/>
      <c r="BB42" s="13">
        <f t="shared" si="523"/>
        <v>0</v>
      </c>
      <c r="BC42" s="13">
        <f t="shared" si="524"/>
        <v>0</v>
      </c>
      <c r="BD42" s="13">
        <f t="shared" si="525"/>
        <v>0</v>
      </c>
      <c r="BE42" s="14">
        <f t="shared" si="526"/>
        <v>-1</v>
      </c>
      <c r="BF42" s="77"/>
      <c r="BG42" s="3"/>
      <c r="BH42" s="525" t="s">
        <v>104</v>
      </c>
      <c r="BI42" s="526"/>
      <c r="BJ42" s="526"/>
      <c r="BK42" s="526"/>
      <c r="BL42" s="526"/>
      <c r="BM42" s="527"/>
      <c r="BO42" s="11" t="str">
        <f t="shared" si="527"/>
        <v>Roumanie</v>
      </c>
      <c r="BP42" s="12">
        <f>IF(OR(M7="-",M7=""),0,_xlfn.NUMBERVALUE(MID(M7,1,1)))</f>
        <v>2</v>
      </c>
      <c r="BQ42" s="27"/>
      <c r="BR42" s="13">
        <f>IF(OR(O7="-",O7=""),0,_xlfn.NUMBERVALUE(MID(O7,1,1)))</f>
        <v>1</v>
      </c>
      <c r="BS42" s="13">
        <f>IF(OR(P7="-",P7=""),0,_xlfn.NUMBERVALUE(MID(P7,1,1)))</f>
        <v>1</v>
      </c>
      <c r="BT42" s="13">
        <f>IF(OR(Q7="-",Q7=""),0,_xlfn.NUMBERVALUE(MID(Q7,1,1)))</f>
        <v>0</v>
      </c>
      <c r="BU42" s="14">
        <f>IF(OR(R7="-",R7=""),0,_xlfn.NUMBERVALUE(MID(R7,1,1)))</f>
        <v>1</v>
      </c>
      <c r="BV42" s="18"/>
      <c r="BW42" s="31">
        <f>IF(OR(M7="-",M7=""),0,_xlfn.NUMBERVALUE(MID(M7,3,1)))</f>
        <v>0</v>
      </c>
      <c r="BX42" s="27"/>
      <c r="BY42" s="9">
        <f>IF(OR(O7="-",O7=""),0,_xlfn.NUMBERVALUE(MID(O7,3,1)))</f>
        <v>1</v>
      </c>
      <c r="BZ42" s="9">
        <f>IF(OR(P7="-",P7=""),0,_xlfn.NUMBERVALUE(MID(P7,3,1)))</f>
        <v>1</v>
      </c>
      <c r="CA42" s="9">
        <f>IF(OR(Q7="-",Q7=""),0,_xlfn.NUMBERVALUE(MID(Q7,3,1)))</f>
        <v>0</v>
      </c>
      <c r="CB42" s="10">
        <f>IF(OR(R7="-",R7=""),0,_xlfn.NUMBERVALUE(MID(R7,3,1)))</f>
        <v>0</v>
      </c>
      <c r="CD42" s="4" t="s">
        <v>86</v>
      </c>
      <c r="CE42" s="5" t="str">
        <f t="shared" ref="CE42:CJ42" si="536">M5</f>
        <v>Irlande du Nord</v>
      </c>
      <c r="CF42" s="6" t="str">
        <f t="shared" si="536"/>
        <v>Roumanie</v>
      </c>
      <c r="CG42" s="6" t="str">
        <f t="shared" si="536"/>
        <v>Finlande</v>
      </c>
      <c r="CH42" s="6" t="str">
        <f t="shared" si="536"/>
        <v>Hongrie</v>
      </c>
      <c r="CI42" s="6" t="str">
        <f t="shared" si="536"/>
        <v>Grèce</v>
      </c>
      <c r="CJ42" s="7" t="str">
        <f t="shared" si="536"/>
        <v>Îles Féroé</v>
      </c>
      <c r="CL42" s="11" t="str">
        <f t="shared" si="528"/>
        <v>Roumanie</v>
      </c>
      <c r="CM42" s="9">
        <f t="shared" ref="CM42" si="537">-CN41</f>
        <v>3</v>
      </c>
      <c r="CN42" s="27"/>
      <c r="CO42" s="37">
        <f t="shared" ref="CO42" si="538">X42+AD43-(W43+AE42)</f>
        <v>3</v>
      </c>
      <c r="CP42" s="37">
        <f t="shared" ref="CP42" si="539">Y42+AD44-(W44+AF42)</f>
        <v>0</v>
      </c>
      <c r="CQ42" s="37">
        <f t="shared" ref="CQ42" si="540">Z42+AD45-(W45+AG42)</f>
        <v>3</v>
      </c>
      <c r="CR42" s="41">
        <f t="shared" ref="CR42" si="541">AA42+AD46-(W46+AH42)</f>
        <v>6</v>
      </c>
      <c r="CT42" s="8" t="str">
        <f t="shared" si="529"/>
        <v>Roumanie</v>
      </c>
      <c r="CU42" s="51">
        <f>$DK42+0.01*CM42+0.0001*(BP42+BX41)+0.000001*BX41</f>
        <v>20.030200000000001</v>
      </c>
      <c r="CV42" s="47"/>
      <c r="CW42" s="51">
        <f>$DK42+0.01*CO42+0.0001*(BR42+BX43)+0.000001*BX43</f>
        <v>20.030301999999999</v>
      </c>
      <c r="CX42" s="51">
        <f>$DK42+0.01*CP42+0.0001*(BS42+BX44)+0.000001*BX44</f>
        <v>20.0001</v>
      </c>
      <c r="CY42" s="51">
        <f>$DK42+0.01*CQ42+0.0001*(BT42+BX45)+0.000001*BX45</f>
        <v>20.030101000000002</v>
      </c>
      <c r="CZ42" s="52">
        <f>$DK42+0.01*CR42+0.0001*(BU42+BX46)+0.000001*BX46</f>
        <v>20.060402999999997</v>
      </c>
      <c r="DB42" s="61" t="str">
        <f t="shared" si="530"/>
        <v>Roumanie</v>
      </c>
      <c r="DC42" s="3" t="str">
        <f t="shared" ref="DC42" si="542">IF(CZ42&gt;=CV46,CT42,CT46)</f>
        <v>Roumanie</v>
      </c>
      <c r="DD42" s="3" t="str">
        <f t="shared" ref="DD42" si="543">IF(CY42&gt;=CV45,CT42,CT45)</f>
        <v>Roumanie</v>
      </c>
      <c r="DE42" s="3" t="str">
        <f t="shared" ref="DE42" si="544">IF(CX42&gt;=CV44,CT42,CT44)</f>
        <v>Roumanie</v>
      </c>
      <c r="DF42" s="3" t="str">
        <f t="shared" ref="DF42" si="545">IF(CW42&gt;=CV43,CT42,CT43)</f>
        <v>Roumanie</v>
      </c>
      <c r="DJ42" s="63" t="str">
        <f t="shared" si="531"/>
        <v>Roumanie</v>
      </c>
      <c r="DK42" s="66">
        <f t="shared" ref="DK42" si="546">AL43</f>
        <v>20</v>
      </c>
      <c r="DL42" s="73">
        <f>COUNTIF(DC41:DG45,L7)</f>
        <v>4</v>
      </c>
      <c r="DM42" s="11" t="str">
        <f t="shared" si="532"/>
        <v>Roumanie</v>
      </c>
      <c r="DN42" s="45"/>
      <c r="DO42" s="11">
        <v>2</v>
      </c>
      <c r="DP42" s="69" t="str">
        <f>VLOOKUP(4,DL41:DM46,2,FALSE)</f>
        <v>Roumanie</v>
      </c>
      <c r="DQ42" s="11">
        <v>2</v>
      </c>
      <c r="DR42" s="11">
        <f t="shared" ref="DR42" si="547">VLOOKUP(DP42,U41:AB46,8,FALSE)</f>
        <v>2</v>
      </c>
      <c r="DS42" s="45"/>
    </row>
    <row r="43" spans="2:123" ht="15.75" customHeight="1" thickBot="1" x14ac:dyDescent="0.3">
      <c r="C43" s="539" t="s">
        <v>85</v>
      </c>
      <c r="D43" s="233" t="s">
        <v>86</v>
      </c>
      <c r="E43" s="234" t="s">
        <v>88</v>
      </c>
      <c r="F43" s="235" t="s">
        <v>86</v>
      </c>
      <c r="G43" s="241" t="s">
        <v>87</v>
      </c>
      <c r="L43" s="525" t="s">
        <v>89</v>
      </c>
      <c r="M43" s="526"/>
      <c r="N43" s="526"/>
      <c r="O43" s="526"/>
      <c r="P43" s="526"/>
      <c r="Q43" s="527"/>
      <c r="U43" s="11" t="str">
        <f t="shared" si="515"/>
        <v>Finlande</v>
      </c>
      <c r="V43" s="12">
        <f>IF(OR(M8="-",M8=""),0,IF(MID(M8,1,1)&gt;MID(M8,3,1),3,        IF(MID(M8,1,1)=MID(M8,3,1),1,         IF(MID(M8,1,1)&lt;MID(M8,3,1),0)        )))</f>
        <v>1</v>
      </c>
      <c r="W43" s="13">
        <f>IF(OR(N8="-",N8=""),0,IF(MID(N8,1,1)&gt;MID(N8,3,1),3,        IF(MID(N8,1,1)=MID(N8,3,1),1,         IF(MID(N8,1,1)&lt;MID(N8,3,1),0)        )))</f>
        <v>0</v>
      </c>
      <c r="X43" s="27"/>
      <c r="Y43" s="13">
        <f>IF(OR(P8="-",P8=""),0,IF(MID(P8,1,1)&gt;MID(P8,3,1),3,        IF(MID(P8,1,1)=MID(P8,3,1),1,         IF(MID(P8,1,1)&lt;MID(P8,3,1),0)        )))</f>
        <v>0</v>
      </c>
      <c r="Z43" s="13">
        <f>IF(OR(Q8="-",Q8=""),0,IF(MID(Q8,1,1)&gt;MID(Q8,3,1),3,        IF(MID(Q8,1,1)=MID(Q8,3,1),1,         IF(MID(Q8,1,1)&lt;MID(Q8,3,1),0)        )))</f>
        <v>1</v>
      </c>
      <c r="AA43" s="14">
        <f>IF(OR(R8="-",R8=""),0,IF(MID(R8,1,1)&gt;MID(R8,3,1),3,        IF(MID(R8,1,1)=MID(R8,3,1),1,         IF(MID(R8,1,1)&lt;MID(R8,3,1),0)        )))</f>
        <v>3</v>
      </c>
      <c r="AB43" s="3">
        <v>3</v>
      </c>
      <c r="AC43" s="22">
        <f>IF(OR(M8="-",M8=""),0,IF(MID(M8,3,1)&gt;MID(M8,1,1),3,        IF(MID(M8,3,1)=MID(M8,1,1),1,         IF(MID(M8,3,1)&lt;MID(M8,1,1),0)        )))</f>
        <v>1</v>
      </c>
      <c r="AD43" s="13">
        <f>IF(OR(N8="-",N8=""),0,IF(MID(N8,3,1)&gt;MID(N8,1,1),3,        IF(MID(N8,3,1)=MID(N8,1,1),1,         IF(MID(N8,3,1)&lt;MID(N8,1,1),0)        )))</f>
        <v>3</v>
      </c>
      <c r="AE43" s="27"/>
      <c r="AF43" s="13">
        <f>IF(OR(P8="-",P8=""),0,IF(MID(P8,3,1)&gt;MID(P8,1,1),3,        IF(MID(P8,3,1)=MID(P8,1,1),1,         IF(MID(P8,3,1)&lt;MID(P8,1,1),0)        )))</f>
        <v>3</v>
      </c>
      <c r="AG43" s="13">
        <f>IF(OR(Q8="-",Q8=""),0,IF(MID(Q8,3,1)&gt;MID(Q8,1,1),3,        IF(MID(Q8,3,1)=MID(Q8,1,1),1,         IF(MID(Q8,3,1)&lt;MID(Q8,1,1),0)        )))</f>
        <v>1</v>
      </c>
      <c r="AH43" s="14">
        <f>IF(OR(R8="-",R8=""),0,IF(MID(R8,3,1)&gt;MID(R8,1,1),3,        IF(MID(R8,3,1)=MID(R8,1,1),1,         IF(MID(R8,3,1)&lt;MID(R8,1,1),0)        )))</f>
        <v>0</v>
      </c>
      <c r="AI43" s="36"/>
      <c r="AJ43" s="77"/>
      <c r="AK43" s="23">
        <f t="shared" ref="AK43" si="548">SUM(W41:AA41,AC42:AC46)</f>
        <v>21</v>
      </c>
      <c r="AL43" s="17">
        <f t="shared" ref="AL43" si="549">SUM(V42,X42:AA42,AD41,AD43:AD46)</f>
        <v>20</v>
      </c>
      <c r="AM43" s="17">
        <f t="shared" ref="AM43" si="550">SUM(V43:W43,Y43:AA43,AE41:AE42,AE44:AE46)</f>
        <v>12</v>
      </c>
      <c r="AN43" s="17">
        <f t="shared" ref="AN43" si="551">SUM(V44:X44,Z44:AA44,AF41:AF43,AF45:AF46)</f>
        <v>16</v>
      </c>
      <c r="AO43" s="17">
        <f t="shared" ref="AO43" si="552">SUM(V45:Y45,AA45,AG41:AG44,AG46)</f>
        <v>6</v>
      </c>
      <c r="AP43" s="24">
        <f t="shared" ref="AP43" si="553">SUM(V46:Z46,AH41:AH45)</f>
        <v>6</v>
      </c>
      <c r="AQ43" s="18"/>
      <c r="AR43" s="11" t="str">
        <f t="shared" si="516"/>
        <v>Finlande</v>
      </c>
      <c r="AS43" s="12">
        <f t="shared" si="534"/>
        <v>0</v>
      </c>
      <c r="AT43" s="12">
        <f t="shared" ref="AT43:AT46" si="554">BQ43-BX43</f>
        <v>-2</v>
      </c>
      <c r="AU43" s="80"/>
      <c r="AV43" s="12">
        <f t="shared" si="519"/>
        <v>-1</v>
      </c>
      <c r="AW43" s="12">
        <f t="shared" si="520"/>
        <v>0</v>
      </c>
      <c r="AX43" s="69">
        <f t="shared" si="521"/>
        <v>1</v>
      </c>
      <c r="AY43" s="45"/>
      <c r="AZ43" s="22">
        <f t="shared" si="535"/>
        <v>0</v>
      </c>
      <c r="BA43" s="13">
        <f t="shared" ref="BA43:BA46" si="555">BX43-BQ43</f>
        <v>2</v>
      </c>
      <c r="BB43" s="27"/>
      <c r="BC43" s="13">
        <f t="shared" si="524"/>
        <v>1</v>
      </c>
      <c r="BD43" s="13">
        <f t="shared" si="525"/>
        <v>0</v>
      </c>
      <c r="BE43" s="14">
        <f t="shared" si="526"/>
        <v>-1</v>
      </c>
      <c r="BF43" s="77"/>
      <c r="BG43" s="4" t="s">
        <v>86</v>
      </c>
      <c r="BH43" s="5" t="str">
        <f t="shared" ref="BH43:BM43" si="556">M5</f>
        <v>Irlande du Nord</v>
      </c>
      <c r="BI43" s="5" t="str">
        <f t="shared" si="556"/>
        <v>Roumanie</v>
      </c>
      <c r="BJ43" s="5" t="str">
        <f t="shared" si="556"/>
        <v>Finlande</v>
      </c>
      <c r="BK43" s="5" t="str">
        <f t="shared" si="556"/>
        <v>Hongrie</v>
      </c>
      <c r="BL43" s="5" t="str">
        <f t="shared" si="556"/>
        <v>Grèce</v>
      </c>
      <c r="BM43" s="76" t="str">
        <f t="shared" si="556"/>
        <v>Îles Féroé</v>
      </c>
      <c r="BO43" s="11" t="str">
        <f t="shared" si="527"/>
        <v>Finlande</v>
      </c>
      <c r="BP43" s="12">
        <f>IF(OR(M8="-",M8=""),0,_xlfn.NUMBERVALUE(MID(M8,1,1)))</f>
        <v>1</v>
      </c>
      <c r="BQ43" s="13">
        <f>IF(OR(N8="-",N8=""),0,_xlfn.NUMBERVALUE(MID(N8,1,1)))</f>
        <v>0</v>
      </c>
      <c r="BR43" s="27"/>
      <c r="BS43" s="13">
        <f>IF(OR(P8="-",P8=""),0,_xlfn.NUMBERVALUE(MID(P8,1,1)))</f>
        <v>0</v>
      </c>
      <c r="BT43" s="13">
        <f>IF(OR(Q8="-",Q8=""),0,_xlfn.NUMBERVALUE(MID(Q8,1,1)))</f>
        <v>1</v>
      </c>
      <c r="BU43" s="14">
        <f>IF(OR(R8="-",R8=""),0,_xlfn.NUMBERVALUE(MID(R8,1,1)))</f>
        <v>1</v>
      </c>
      <c r="BV43" s="18"/>
      <c r="BW43" s="31">
        <f>IF(OR(M8="-",M8=""),0,_xlfn.NUMBERVALUE(MID(M8,3,1)))</f>
        <v>1</v>
      </c>
      <c r="BX43" s="9">
        <f>IF(OR(N8="-",N8=""),0,_xlfn.NUMBERVALUE(MID(N8,3,1)))</f>
        <v>2</v>
      </c>
      <c r="BY43" s="27"/>
      <c r="BZ43" s="9">
        <f>IF(OR(P8="-",P8=""),0,_xlfn.NUMBERVALUE(MID(P8,3,1)))</f>
        <v>1</v>
      </c>
      <c r="CA43" s="9">
        <f>IF(OR(Q8="-",Q8=""),0,_xlfn.NUMBERVALUE(MID(Q8,3,1)))</f>
        <v>1</v>
      </c>
      <c r="CB43" s="10">
        <f>IF(OR(R8="-",R8=""),0,_xlfn.NUMBERVALUE(MID(R8,3,1)))</f>
        <v>0</v>
      </c>
      <c r="CD43" s="8" t="s">
        <v>91</v>
      </c>
      <c r="CE43" s="39">
        <f t="shared" ref="CE43" si="557">SUM(BQ41:BU41)</f>
        <v>8</v>
      </c>
      <c r="CF43" s="9">
        <f>SUM(BP42,BR42:BU42)</f>
        <v>5</v>
      </c>
      <c r="CG43" s="9">
        <f>SUM(BP43:BQ43,BS43:BU43)</f>
        <v>3</v>
      </c>
      <c r="CH43" s="9">
        <f>SUM(BP44:BR44,BT44:BU44)</f>
        <v>4</v>
      </c>
      <c r="CI43" s="9">
        <f>SUM(BP45:BS45,BU45)</f>
        <v>4</v>
      </c>
      <c r="CJ43" s="10">
        <f t="shared" ref="CJ43" si="558">SUM(BP46:BT46)</f>
        <v>4</v>
      </c>
      <c r="CL43" s="11" t="str">
        <f t="shared" si="528"/>
        <v>Finlande</v>
      </c>
      <c r="CM43" s="12">
        <f t="shared" ref="CM43" si="559">-CO41</f>
        <v>-3</v>
      </c>
      <c r="CN43" s="13">
        <f t="shared" ref="CN43" si="560">-CO42</f>
        <v>-3</v>
      </c>
      <c r="CO43" s="27"/>
      <c r="CP43" s="37">
        <f t="shared" ref="CP43" si="561">Y43+AE44-(X44+AF43)</f>
        <v>-6</v>
      </c>
      <c r="CQ43" s="37">
        <f t="shared" ref="CQ43" si="562">Z43+AE45-(X45+AG43)</f>
        <v>3</v>
      </c>
      <c r="CR43" s="41">
        <f t="shared" ref="CR43" si="563">AA43+AE46-(X46+AH43)</f>
        <v>6</v>
      </c>
      <c r="CT43" s="8" t="str">
        <f t="shared" si="529"/>
        <v>Finlande</v>
      </c>
      <c r="CU43" s="51">
        <f>$DK43+0.01*CM43+0.0001*(BP43+BY41)+0.000001*BY41</f>
        <v>11.970200999999999</v>
      </c>
      <c r="CV43" s="51">
        <f>$DK43+0.01*CN43+0.0001*(BQ43+BY42)+0.000001*BY42</f>
        <v>11.970101</v>
      </c>
      <c r="CW43" s="47"/>
      <c r="CX43" s="51">
        <f>$DK43+0.01*CP43+0.0001*(BS43+BY44)+0.000001*BY44</f>
        <v>11.94</v>
      </c>
      <c r="CY43" s="51">
        <f>$DK43+0.01*CQ43+0.0001*(BT43+BY45)+0.000001*BY45</f>
        <v>12.030200999999998</v>
      </c>
      <c r="CZ43" s="52">
        <f>$DK43+0.01*CR43+0.0001*(BU43+BY46)+0.000001*BY46</f>
        <v>12.060403000000001</v>
      </c>
      <c r="DB43" s="61" t="str">
        <f t="shared" si="530"/>
        <v>Finlande</v>
      </c>
      <c r="DC43" s="3" t="str">
        <f t="shared" ref="DC43" si="564">IF(CZ43&gt;=CW46,CT43,CT46)</f>
        <v>Finlande</v>
      </c>
      <c r="DD43" s="3" t="str">
        <f t="shared" ref="DD43" si="565">IF(CY43&gt;=CW45,CT43,CT45)</f>
        <v>Finlande</v>
      </c>
      <c r="DE43" s="3" t="str">
        <f t="shared" ref="DE43" si="566">IF(CX43&gt;=CW44,CT43,CT44)</f>
        <v>Hongrie</v>
      </c>
      <c r="DJ43" s="63" t="str">
        <f t="shared" si="531"/>
        <v>Finlande</v>
      </c>
      <c r="DK43" s="66">
        <f t="shared" ref="DK43" si="567">AM43</f>
        <v>12</v>
      </c>
      <c r="DL43" s="73">
        <f>COUNTIF(DC41:DG45,L8)</f>
        <v>2</v>
      </c>
      <c r="DM43" s="11" t="str">
        <f t="shared" si="532"/>
        <v>Finlande</v>
      </c>
      <c r="DO43" s="11">
        <v>3</v>
      </c>
      <c r="DP43" s="69" t="str">
        <f>VLOOKUP(3,DL41:DM46,2,FALSE)</f>
        <v>Hongrie</v>
      </c>
      <c r="DQ43" s="11">
        <v>3</v>
      </c>
      <c r="DR43" s="11">
        <f t="shared" ref="DR43" si="568">VLOOKUP(DP43,U41:AB46,8,FALSE)</f>
        <v>4</v>
      </c>
    </row>
    <row r="44" spans="2:123" ht="15.75" customHeight="1" thickBot="1" x14ac:dyDescent="0.3">
      <c r="C44" s="540"/>
      <c r="D44" s="542" t="str">
        <f>C22</f>
        <v>Ukraine</v>
      </c>
      <c r="E44" s="236" t="s">
        <v>9</v>
      </c>
      <c r="F44" s="537" t="str">
        <f>C35</f>
        <v>Slovénie</v>
      </c>
      <c r="G44" s="539" t="str">
        <f>IF(AND(E44&lt;&gt;"",E44&lt;&gt;"-",E45&lt;&gt;"",E45&lt;&gt;"-"),IF(MID(E44,1,1)+MID(E45,1,1)&gt;MID(E44,3,1)+MID(E45,3,1),D44,IF(MID(E44,3,1)+MID(E45,3,1)&gt;MID(E44,1,1)+MID(E45,1,1),F44,"Egalité")),"")</f>
        <v>Ukraine</v>
      </c>
      <c r="H44" s="3"/>
      <c r="I44" s="3"/>
      <c r="J44" s="3"/>
      <c r="L44" s="31" t="str">
        <f>L32</f>
        <v>France</v>
      </c>
      <c r="M44" s="9" t="str">
        <f>DP6</f>
        <v>R. tchèque</v>
      </c>
      <c r="N44" s="9" t="str">
        <f>DP7</f>
        <v>Islande</v>
      </c>
      <c r="O44" s="9" t="str">
        <f>DP13</f>
        <v>Belgique</v>
      </c>
      <c r="P44" s="9" t="str">
        <f>DP14</f>
        <v>Pays de Galles</v>
      </c>
      <c r="Q44" s="10" t="str">
        <f>DP20</f>
        <v>Espagne</v>
      </c>
      <c r="U44" s="11" t="str">
        <f t="shared" si="515"/>
        <v>Hongrie</v>
      </c>
      <c r="V44" s="12">
        <f>IF(OR(M9="-",M9=""),0,IF(MID(M9,1,1)&gt;MID(M9,3,1),3,        IF(MID(M9,1,1)=MID(M9,3,1),1,         IF(MID(M9,1,1)&lt;MID(M9,3,1),0)        )))</f>
        <v>0</v>
      </c>
      <c r="W44" s="13">
        <f>IF(OR(N9="-",N9=""),0,IF(MID(N9,1,1)&gt;MID(N9,3,1),3,        IF(MID(N9,1,1)=MID(N9,3,1),1,         IF(MID(N9,1,1)&lt;MID(N9,3,1),0)        )))</f>
        <v>1</v>
      </c>
      <c r="X44" s="13">
        <f>IF(OR(O9="-",O9=""),0,IF(MID(O9,1,1)&gt;MID(O9,3,1),3,        IF(MID(O9,1,1)=MID(O9,3,1),1,         IF(MID(O9,1,1)&lt;MID(O9,3,1),0)        )))</f>
        <v>3</v>
      </c>
      <c r="Y44" s="27"/>
      <c r="Z44" s="13">
        <f>IF(OR(Q9="-",Q9=""),0,IF(MID(Q9,1,1)&gt;MID(Q9,3,1),3,        IF(MID(Q9,1,1)=MID(Q9,3,1),1,         IF(MID(Q9,1,1)&lt;MID(Q9,3,1),0)        )))</f>
        <v>1</v>
      </c>
      <c r="AA44" s="14">
        <f>IF(OR(R9="-",R9=""),0,IF(MID(R9,1,1)&gt;MID(R9,3,1),3,        IF(MID(R9,1,1)=MID(R9,3,1),1,         IF(MID(R9,1,1)&lt;MID(R9,3,1),0)        )))</f>
        <v>3</v>
      </c>
      <c r="AB44" s="3">
        <v>4</v>
      </c>
      <c r="AC44" s="22">
        <f>IF(OR(M9="-",M9=""),0,IF(MID(M9,3,1)&gt;MID(M9,1,1),3,        IF(MID(M9,3,1)=MID(M9,1,1),1,         IF(MID(M9,3,1)&lt;MID(M9,1,1),0)        )))</f>
        <v>3</v>
      </c>
      <c r="AD44" s="13">
        <f>IF(OR(N9="-",N9=""),0,IF(MID(N9,3,1)&gt;MID(N9,1,1),3,        IF(MID(N9,3,1)=MID(N9,1,1),1,         IF(MID(N9,3,1)&lt;MID(N9,1,1),0)        )))</f>
        <v>1</v>
      </c>
      <c r="AE44" s="13">
        <f>IF(OR(O9="-",O9=""),0,IF(MID(O9,3,1)&gt;MID(O9,1,1),3,        IF(MID(O9,3,1)=MID(O9,1,1),1,         IF(MID(O9,3,1)&lt;MID(O9,1,1),0)        )))</f>
        <v>0</v>
      </c>
      <c r="AF44" s="27"/>
      <c r="AG44" s="13">
        <f>IF(OR(Q9="-",Q9=""),0,IF(MID(Q9,3,1)&gt;MID(Q9,1,1),3,        IF(MID(Q9,3,1)=MID(Q9,1,1),1,         IF(MID(Q9,3,1)&lt;MID(Q9,1,1),0)        )))</f>
        <v>1</v>
      </c>
      <c r="AH44" s="14">
        <f>IF(OR(R9="-",R9=""),0,IF(MID(R9,3,1)&gt;MID(R9,1,1),3,        IF(MID(R9,3,1)=MID(R9,1,1),1,         IF(MID(R9,3,1)&lt;MID(R9,1,1),0)        )))</f>
        <v>0</v>
      </c>
      <c r="AI44" s="77"/>
      <c r="AJ44" s="77"/>
      <c r="AK44" s="45"/>
      <c r="AL44" s="45"/>
      <c r="AM44" s="45"/>
      <c r="AN44" s="45"/>
      <c r="AO44" s="45"/>
      <c r="AP44" s="45"/>
      <c r="AQ44" s="18"/>
      <c r="AR44" s="11" t="str">
        <f t="shared" si="516"/>
        <v>Hongrie</v>
      </c>
      <c r="AS44" s="12">
        <f t="shared" si="534"/>
        <v>-1</v>
      </c>
      <c r="AT44" s="12">
        <f t="shared" si="554"/>
        <v>0</v>
      </c>
      <c r="AU44" s="12">
        <f t="shared" ref="AU44:AU46" si="569">BR44-BY44</f>
        <v>1</v>
      </c>
      <c r="AV44" s="80"/>
      <c r="AW44" s="12">
        <f t="shared" si="520"/>
        <v>0</v>
      </c>
      <c r="AX44" s="69">
        <f t="shared" si="521"/>
        <v>1</v>
      </c>
      <c r="AY44" s="45"/>
      <c r="AZ44" s="22">
        <f t="shared" si="535"/>
        <v>1</v>
      </c>
      <c r="BA44" s="13">
        <f t="shared" si="555"/>
        <v>0</v>
      </c>
      <c r="BB44" s="13">
        <f t="shared" ref="BB44:BB46" si="570">BY44-BR44</f>
        <v>-1</v>
      </c>
      <c r="BC44" s="27"/>
      <c r="BD44" s="13">
        <f t="shared" si="525"/>
        <v>0</v>
      </c>
      <c r="BE44" s="14">
        <f t="shared" si="526"/>
        <v>-1</v>
      </c>
      <c r="BF44" s="77"/>
      <c r="BG44" s="19" t="s">
        <v>91</v>
      </c>
      <c r="BH44" s="87">
        <f>SUM(AT41:AX41,AZ42:AZ46)</f>
        <v>8</v>
      </c>
      <c r="BI44" s="32">
        <f>SUM(AS42,AU42:AX42,BA41,BA43:BA46)</f>
        <v>9</v>
      </c>
      <c r="BJ44" s="32">
        <f>SUM(AS43:AT43,AV43:AX43,BB41:BB42,BB44:BB46)</f>
        <v>-1</v>
      </c>
      <c r="BK44" s="32">
        <f>SUM(AS44:AU44,AW44:AX44,BC41:BC43,BC45:BC46)</f>
        <v>2</v>
      </c>
      <c r="BL44" s="32">
        <f>SUM(AS45:AV45,AX45,BD41:BD44,BD46)</f>
        <v>-7</v>
      </c>
      <c r="BM44" s="33">
        <f>SUM(AS46:AW46,BE41:BE45)</f>
        <v>-11</v>
      </c>
      <c r="BO44" s="11" t="str">
        <f t="shared" si="527"/>
        <v>Hongrie</v>
      </c>
      <c r="BP44" s="12">
        <f>IF(OR(M9="-",M9=""),0,_xlfn.NUMBERVALUE(MID(M9,1,1)))</f>
        <v>1</v>
      </c>
      <c r="BQ44" s="13">
        <f>IF(OR(N9="-",N9=""),0,_xlfn.NUMBERVALUE(MID(N9,1,1)))</f>
        <v>0</v>
      </c>
      <c r="BR44" s="13">
        <f>IF(OR(O9="-",O9=""),0,_xlfn.NUMBERVALUE(MID(O9,1,1)))</f>
        <v>1</v>
      </c>
      <c r="BS44" s="27"/>
      <c r="BT44" s="13">
        <f>IF(OR(Q9="-",Q9=""),0,_xlfn.NUMBERVALUE(MID(Q9,1,1)))</f>
        <v>0</v>
      </c>
      <c r="BU44" s="14">
        <f>IF(OR(R9="-",R9=""),0,_xlfn.NUMBERVALUE(MID(R9,1,1)))</f>
        <v>2</v>
      </c>
      <c r="BV44" s="18"/>
      <c r="BW44" s="31">
        <f>IF(OR(M9="-",M9=""),0,_xlfn.NUMBERVALUE(MID(M9,3,1)))</f>
        <v>2</v>
      </c>
      <c r="BX44" s="9">
        <f>IF(OR(N9="-",N9=""),0,_xlfn.NUMBERVALUE(MID(N9,3,1)))</f>
        <v>0</v>
      </c>
      <c r="BY44" s="9">
        <f>IF(OR(O9="-",O9=""),0,_xlfn.NUMBERVALUE(MID(O9,3,1)))</f>
        <v>0</v>
      </c>
      <c r="BZ44" s="27"/>
      <c r="CA44" s="9">
        <f>IF(OR(Q9="-",Q9=""),0,_xlfn.NUMBERVALUE(MID(Q9,3,1)))</f>
        <v>0</v>
      </c>
      <c r="CB44" s="10">
        <f>IF(OR(R9="-",R9=""),0,_xlfn.NUMBERVALUE(MID(R9,3,1)))</f>
        <v>1</v>
      </c>
      <c r="CD44" s="11" t="s">
        <v>92</v>
      </c>
      <c r="CE44" s="12">
        <f>SUM(BW42:BW46)</f>
        <v>8</v>
      </c>
      <c r="CF44" s="13">
        <f>SUM(BX41,BX43:BX46)</f>
        <v>6</v>
      </c>
      <c r="CG44" s="13">
        <f>SUM(BY41:BY42,BY44:BY46)</f>
        <v>6</v>
      </c>
      <c r="CH44" s="13">
        <f>SUM(BZ41:BZ43,BZ45:BZ46)</f>
        <v>7</v>
      </c>
      <c r="CI44" s="13">
        <f>SUM(CA41:CA44,CA46)</f>
        <v>3</v>
      </c>
      <c r="CJ44" s="14">
        <f>SUM(CB41:CB45)</f>
        <v>2</v>
      </c>
      <c r="CL44" s="11" t="str">
        <f t="shared" si="528"/>
        <v>Hongrie</v>
      </c>
      <c r="CM44" s="12">
        <f>-CP41</f>
        <v>-3</v>
      </c>
      <c r="CN44" s="13">
        <f>-CP42</f>
        <v>0</v>
      </c>
      <c r="CO44" s="37">
        <f>-CP43</f>
        <v>6</v>
      </c>
      <c r="CP44" s="27"/>
      <c r="CQ44" s="37">
        <f t="shared" ref="CQ44" si="571">Z44+AF45-(Y45+AG44)</f>
        <v>-3</v>
      </c>
      <c r="CR44" s="41">
        <f t="shared" ref="CR44" si="572">AA44+AF46-(Y46+AH44)</f>
        <v>6</v>
      </c>
      <c r="CT44" s="8" t="str">
        <f t="shared" si="529"/>
        <v>Hongrie</v>
      </c>
      <c r="CU44" s="51">
        <f>$DK44+0.01*CM44+0.0001*(BP44+BZ41)+0.000001*BZ41</f>
        <v>15.970200999999999</v>
      </c>
      <c r="CV44" s="51">
        <f>$DK44+0.01*CN44+0.0001*(BQ44+BZ42)+0.000001*BZ42</f>
        <v>16.000101000000001</v>
      </c>
      <c r="CW44" s="51">
        <f>$DK44+0.01*CO44+0.0001*(BR44+BZ43)+0.000001*BZ43</f>
        <v>16.060200999999999</v>
      </c>
      <c r="CX44" s="47"/>
      <c r="CY44" s="51">
        <f>$DK44+0.01*CQ44+0.0001*(BT44+BZ45)+0.000001*BZ45</f>
        <v>15.970302999999999</v>
      </c>
      <c r="CZ44" s="52">
        <f>$DK44+0.01*CR44+0.0001*(BU44+BZ46)+0.000001*BZ46</f>
        <v>16.060300999999999</v>
      </c>
      <c r="DB44" s="61" t="str">
        <f t="shared" si="530"/>
        <v>Hongrie</v>
      </c>
      <c r="DC44" s="3" t="str">
        <f t="shared" ref="DC44" si="573">IF(CZ44&gt;=CX46,CT44,CT46)</f>
        <v>Hongrie</v>
      </c>
      <c r="DD44" s="3" t="str">
        <f t="shared" ref="DD44" si="574">IF(CY44&gt;=CX45,CT44,CT45)</f>
        <v>Hongrie</v>
      </c>
      <c r="DJ44" s="63" t="str">
        <f t="shared" si="531"/>
        <v>Hongrie</v>
      </c>
      <c r="DK44" s="66">
        <f>AN43</f>
        <v>16</v>
      </c>
      <c r="DL44" s="73">
        <f>COUNTIF(DC41:DG45,L9)</f>
        <v>3</v>
      </c>
      <c r="DM44" s="11" t="str">
        <f t="shared" si="532"/>
        <v>Hongrie</v>
      </c>
      <c r="DO44" s="11">
        <v>4</v>
      </c>
      <c r="DP44" s="69" t="str">
        <f>VLOOKUP(2,DL41:DM46,2,FALSE)</f>
        <v>Finlande</v>
      </c>
      <c r="DQ44" s="11">
        <v>4</v>
      </c>
      <c r="DR44" s="11">
        <f>VLOOKUP(DP44,U41:AB46,8,FALSE)</f>
        <v>3</v>
      </c>
    </row>
    <row r="45" spans="2:123" ht="15.75" customHeight="1" thickBot="1" x14ac:dyDescent="0.3">
      <c r="C45" s="540"/>
      <c r="D45" s="543"/>
      <c r="E45" s="237" t="s">
        <v>24</v>
      </c>
      <c r="F45" s="538"/>
      <c r="G45" s="541"/>
      <c r="H45" s="3"/>
      <c r="I45" s="3"/>
      <c r="J45" s="3"/>
      <c r="L45" s="22" t="str">
        <f>DP21</f>
        <v>Slovaquie</v>
      </c>
      <c r="M45" s="13" t="str">
        <f>DP27</f>
        <v>Allemagne</v>
      </c>
      <c r="N45" s="13" t="str">
        <f>DP28</f>
        <v>Pologne</v>
      </c>
      <c r="O45" s="13" t="str">
        <f>DP34</f>
        <v>Angleterre</v>
      </c>
      <c r="P45" s="13" t="str">
        <f>DP35</f>
        <v>Suisse</v>
      </c>
      <c r="Q45" s="14" t="str">
        <f>DP41</f>
        <v>Irlande du Nord</v>
      </c>
      <c r="U45" s="11" t="str">
        <f t="shared" si="515"/>
        <v>Grèce</v>
      </c>
      <c r="V45" s="12">
        <f>IF(OR(M10="-",M10=""),0,IF(MID(M10,1,1)&gt;MID(M10,3,1),3,        IF(MID(M10,1,1)=MID(M10,3,1),1,         IF(MID(M10,1,1)&lt;MID(M10,3,1),0)        )))</f>
        <v>0</v>
      </c>
      <c r="W45" s="13">
        <f>IF(OR(N10="-",N10=""),0,IF(MID(N10,1,1)&gt;MID(N10,3,1),3,        IF(MID(N10,1,1)=MID(N10,3,1),1,         IF(MID(N10,1,1)&lt;MID(N10,3,1),0)        )))</f>
        <v>0</v>
      </c>
      <c r="X45" s="13">
        <f>IF(OR(O10="-",O10=""),0,IF(MID(O10,1,1)&gt;MID(O10,3,1),3,        IF(MID(O10,1,1)=MID(O10,3,1),1,         IF(MID(O10,1,1)&lt;MID(O10,3,1),0)        )))</f>
        <v>0</v>
      </c>
      <c r="Y45" s="13">
        <f>IF(OR(P10="-",P10=""),0,IF(MID(P10,1,1)&gt;MID(P10,3,1),3,        IF(MID(P10,1,1)=MID(P10,3,1),1,         IF(MID(P10,1,1)&lt;MID(P10,3,1),0)        )))</f>
        <v>3</v>
      </c>
      <c r="Z45" s="27"/>
      <c r="AA45" s="14">
        <f>IF(OR(R10="-",R10=""),0,IF(MID(R10,1,1)&gt;MID(R10,3,1),3,        IF(MID(R10,1,1)=MID(R10,3,1),1,         IF(MID(R10,1,1)&lt;MID(R10,3,1),0)        )))</f>
        <v>0</v>
      </c>
      <c r="AB45" s="3">
        <v>5</v>
      </c>
      <c r="AC45" s="22">
        <f>IF(OR(M10="-",M10=""),0,IF(MID(M10,3,1)&gt;MID(M10,1,1),3,        IF(MID(M10,3,1)=MID(M10,1,1),1,         IF(MID(M10,3,1)&lt;MID(M10,1,1),0)        )))</f>
        <v>3</v>
      </c>
      <c r="AD45" s="13">
        <f>IF(OR(N10="-",N10=""),0,IF(MID(N10,3,1)&gt;MID(N10,1,1),3,        IF(MID(N10,3,1)=MID(N10,1,1),1,         IF(MID(N10,3,1)&lt;MID(N10,1,1),0)        )))</f>
        <v>3</v>
      </c>
      <c r="AE45" s="13">
        <f>IF(OR(O10="-",O10=""),0,IF(MID(O10,3,1)&gt;MID(O10,1,1),3,        IF(MID(O10,3,1)=MID(O10,1,1),1,         IF(MID(O10,3,1)&lt;MID(O10,1,1),0)        )))</f>
        <v>3</v>
      </c>
      <c r="AF45" s="13">
        <f>IF(OR(P10="-",P10=""),0,IF(MID(P10,3,1)&gt;MID(P10,1,1),3,        IF(MID(P10,3,1)=MID(P10,1,1),1,         IF(MID(P10,3,1)&lt;MID(P10,1,1),0)        )))</f>
        <v>0</v>
      </c>
      <c r="AG45" s="27"/>
      <c r="AH45" s="14">
        <f>IF(OR(R10="-",R10=""),0,IF(MID(R10,3,1)&gt;MID(R10,1,1),3,        IF(MID(R10,3,1)=MID(R10,1,1),1,         IF(MID(R10,3,1)&lt;MID(R10,1,1),0)        )))</f>
        <v>3</v>
      </c>
      <c r="AI45" s="36"/>
      <c r="AJ45" s="77"/>
      <c r="AR45" s="11" t="str">
        <f t="shared" si="516"/>
        <v>Grèce</v>
      </c>
      <c r="AS45" s="12">
        <f t="shared" si="534"/>
        <v>-2</v>
      </c>
      <c r="AT45" s="12">
        <f t="shared" si="554"/>
        <v>-1</v>
      </c>
      <c r="AU45" s="12">
        <f t="shared" si="569"/>
        <v>-1</v>
      </c>
      <c r="AV45" s="12">
        <f t="shared" ref="AV45:AV46" si="575">BS45-BZ45</f>
        <v>1</v>
      </c>
      <c r="AW45" s="80"/>
      <c r="AX45" s="69">
        <f t="shared" si="521"/>
        <v>-1</v>
      </c>
      <c r="AY45" s="45"/>
      <c r="AZ45" s="22">
        <f t="shared" si="535"/>
        <v>2</v>
      </c>
      <c r="BA45" s="13">
        <f t="shared" si="555"/>
        <v>1</v>
      </c>
      <c r="BB45" s="13">
        <f t="shared" si="570"/>
        <v>1</v>
      </c>
      <c r="BC45" s="13">
        <f t="shared" ref="BC45:BC46" si="576">BZ45-BS45</f>
        <v>-1</v>
      </c>
      <c r="BD45" s="27"/>
      <c r="BE45" s="14">
        <f t="shared" si="526"/>
        <v>1</v>
      </c>
      <c r="BF45" s="77"/>
      <c r="BG45" s="45"/>
      <c r="BH45" s="45"/>
      <c r="BI45" s="45"/>
      <c r="BJ45" s="45"/>
      <c r="BK45" s="45"/>
      <c r="BL45" s="45"/>
      <c r="BM45" s="45"/>
      <c r="BO45" s="11" t="str">
        <f t="shared" si="527"/>
        <v>Grèce</v>
      </c>
      <c r="BP45" s="12">
        <f>IF(OR(M10="-",M10=""),0,_xlfn.NUMBERVALUE(MID(M10,1,1)))</f>
        <v>0</v>
      </c>
      <c r="BQ45" s="13">
        <f>IF(OR(N10="-",N10=""),0,_xlfn.NUMBERVALUE(MID(N10,1,1)))</f>
        <v>0</v>
      </c>
      <c r="BR45" s="13">
        <f>IF(OR(O10="-",O10=""),0,_xlfn.NUMBERVALUE(MID(O10,1,1)))</f>
        <v>0</v>
      </c>
      <c r="BS45" s="13">
        <f>IF(OR(P10="-",P10=""),0,_xlfn.NUMBERVALUE(MID(P10,1,1)))</f>
        <v>4</v>
      </c>
      <c r="BT45" s="27"/>
      <c r="BU45" s="14">
        <f>IF(OR(R10="-",R10=""),0,_xlfn.NUMBERVALUE(MID(R10,1,1)))</f>
        <v>0</v>
      </c>
      <c r="BV45" s="18"/>
      <c r="BW45" s="31">
        <f>IF(OR(M10="-",M10=""),0,_xlfn.NUMBERVALUE(MID(M10,3,1)))</f>
        <v>2</v>
      </c>
      <c r="BX45" s="9">
        <f>IF(OR(N10="-",N10=""),0,_xlfn.NUMBERVALUE(MID(N10,3,1)))</f>
        <v>1</v>
      </c>
      <c r="BY45" s="9">
        <f>IF(OR(O10="-",O10=""),0,_xlfn.NUMBERVALUE(MID(O10,3,1)))</f>
        <v>1</v>
      </c>
      <c r="BZ45" s="9">
        <f>IF(OR(P10="-",P10=""),0,_xlfn.NUMBERVALUE(MID(P10,3,1)))</f>
        <v>3</v>
      </c>
      <c r="CA45" s="27"/>
      <c r="CB45" s="10">
        <f>IF(OR(R10="-",R10=""),0,_xlfn.NUMBERVALUE(MID(R10,3,1)))</f>
        <v>1</v>
      </c>
      <c r="CD45" s="15" t="s">
        <v>93</v>
      </c>
      <c r="CE45" s="16">
        <f t="shared" ref="CE45:CJ45" si="577">SUM(CE43,CE44)</f>
        <v>16</v>
      </c>
      <c r="CF45" s="17">
        <f t="shared" si="577"/>
        <v>11</v>
      </c>
      <c r="CG45" s="17">
        <f t="shared" si="577"/>
        <v>9</v>
      </c>
      <c r="CH45" s="17">
        <f t="shared" si="577"/>
        <v>11</v>
      </c>
      <c r="CI45" s="17">
        <f t="shared" si="577"/>
        <v>7</v>
      </c>
      <c r="CJ45" s="24">
        <f t="shared" si="577"/>
        <v>6</v>
      </c>
      <c r="CL45" s="11" t="str">
        <f t="shared" si="528"/>
        <v>Grèce</v>
      </c>
      <c r="CM45" s="12">
        <f>-CQ41</f>
        <v>-6</v>
      </c>
      <c r="CN45" s="37">
        <f>-CQ42</f>
        <v>-3</v>
      </c>
      <c r="CO45" s="37">
        <f>-CQ43</f>
        <v>-3</v>
      </c>
      <c r="CP45" s="37">
        <f t="shared" ref="CP45" si="578">-CQ44</f>
        <v>3</v>
      </c>
      <c r="CQ45" s="27"/>
      <c r="CR45" s="41">
        <f t="shared" ref="CR45" si="579">AA45+AG46-(Z46+AH45)</f>
        <v>-6</v>
      </c>
      <c r="CT45" s="8" t="str">
        <f t="shared" si="529"/>
        <v>Grèce</v>
      </c>
      <c r="CU45" s="51">
        <f>$DK45+0.01*CM45+0.0001*(BP45+CA41)+0.000001*CA41</f>
        <v>5.9401010000000003</v>
      </c>
      <c r="CV45" s="51">
        <f>$DK45+0.01*CN45+0.0001*(BQ45+CA42)+0.000001*CA42</f>
        <v>5.97</v>
      </c>
      <c r="CW45" s="51">
        <f>$DK45+0.01*CO45+0.0001*(BR45+CA43)+0.000001*CA43</f>
        <v>5.9701009999999997</v>
      </c>
      <c r="CX45" s="51">
        <f>$DK45+0.01*CP45+0.0001*(BS45+CA44)+0.000001*CA44</f>
        <v>6.0304000000000002</v>
      </c>
      <c r="CY45" s="47"/>
      <c r="CZ45" s="52">
        <f>$DK45+0.01*CR45+0.0001*(BU45+CA46)+0.000001*CA46</f>
        <v>5.9401010000000003</v>
      </c>
      <c r="DB45" s="19" t="str">
        <f t="shared" si="530"/>
        <v>Grèce</v>
      </c>
      <c r="DC45" s="3" t="str">
        <f t="shared" ref="DC45" si="580">IF(CZ45&gt;=CY46,CT45,CT46)</f>
        <v>Îles Féroé</v>
      </c>
      <c r="DJ45" s="63" t="str">
        <f t="shared" si="531"/>
        <v>Grèce</v>
      </c>
      <c r="DK45" s="66">
        <f>AO43</f>
        <v>6</v>
      </c>
      <c r="DL45" s="73">
        <f>COUNTIF(DC41:DG45,L10)</f>
        <v>0</v>
      </c>
      <c r="DM45" s="11" t="str">
        <f t="shared" si="532"/>
        <v>Grèce</v>
      </c>
      <c r="DO45" s="11">
        <v>5</v>
      </c>
      <c r="DP45" s="69" t="str">
        <f>VLOOKUP(1,DL41:DM46,2,FALSE)</f>
        <v>Îles Féroé</v>
      </c>
      <c r="DQ45" s="11">
        <v>5</v>
      </c>
      <c r="DR45" s="11">
        <f>VLOOKUP(DP45,U41:AB46,8,FALSE)</f>
        <v>6</v>
      </c>
    </row>
    <row r="46" spans="2:123" ht="15.75" customHeight="1" thickBot="1" x14ac:dyDescent="0.3">
      <c r="C46" s="540"/>
      <c r="D46" s="542" t="str">
        <f>L15</f>
        <v>Suède</v>
      </c>
      <c r="E46" s="238" t="s">
        <v>23</v>
      </c>
      <c r="F46" s="537" t="str">
        <f>L27</f>
        <v>Danemark</v>
      </c>
      <c r="G46" s="539" t="str">
        <f>IF(AND(E46&lt;&gt;"",E46&lt;&gt;"-",E47&lt;&gt;"",E47&lt;&gt;"-"),IF(MID(E46,1,1)+MID(E47,1,1)&gt;MID(E46,3,1)+MID(E47,3,1),D46,IF(MID(E46,3,1)+MID(E47,3,1)&gt;MID(E46,1,1)+MID(E47,1,1),F46,"Egalité")),"")</f>
        <v>Suède</v>
      </c>
      <c r="H46" s="3"/>
      <c r="I46" s="3"/>
      <c r="J46" s="3"/>
      <c r="L46" s="22" t="str">
        <f>DP42</f>
        <v>Roumanie</v>
      </c>
      <c r="M46" s="13" t="str">
        <f>DP48</f>
        <v>Autriche</v>
      </c>
      <c r="N46" s="13" t="str">
        <f>DP49</f>
        <v>Russie</v>
      </c>
      <c r="O46" s="13" t="str">
        <f>DP55</f>
        <v>Italie</v>
      </c>
      <c r="P46" s="13" t="str">
        <f>DP56</f>
        <v>Croatie</v>
      </c>
      <c r="Q46" s="14" t="str">
        <f>DP62</f>
        <v>Portugal</v>
      </c>
      <c r="U46" s="15" t="str">
        <f t="shared" si="515"/>
        <v>Îles Féroé</v>
      </c>
      <c r="V46" s="16">
        <f>IF(OR(M11="-",M11=""),0,IF(MID(M11,1,1)&gt;MID(M11,3,1),3,        IF(MID(M11,1,1)=MID(M11,3,1),1,         IF(MID(M11,1,1)&lt;MID(M11,3,1),0)        )))</f>
        <v>0</v>
      </c>
      <c r="W46" s="17">
        <f>IF(OR(N11="-",N11=""),0,IF(MID(N11,1,1)&gt;MID(N11,3,1),3,        IF(MID(N11,1,1)=MID(N11,3,1),1,         IF(MID(N11,1,1)&lt;MID(N11,3,1),0)        )))</f>
        <v>0</v>
      </c>
      <c r="X46" s="17">
        <f>IF(OR(O11="-",O11=""),0,IF(MID(O11,1,1)&gt;MID(O11,3,1),3,        IF(MID(O11,1,1)=MID(O11,3,1),1,         IF(MID(O11,1,1)&lt;MID(O11,3,1),0)        )))</f>
        <v>0</v>
      </c>
      <c r="Y46" s="17">
        <f>IF(OR(P11="-",P11=""),0,IF(MID(P11,1,1)&gt;MID(P11,3,1),3,        IF(MID(P11,1,1)=MID(P11,3,1),1,         IF(MID(P11,1,1)&lt;MID(P11,3,1),0)        )))</f>
        <v>0</v>
      </c>
      <c r="Z46" s="17">
        <f>IF(OR(Q11="-",Q11=""),0,IF(MID(Q11,1,1)&gt;MID(Q11,3,1),3,        IF(MID(Q11,1,1)=MID(Q11,3,1),1,         IF(MID(Q11,1,1)&lt;MID(Q11,3,1),0)        )))</f>
        <v>3</v>
      </c>
      <c r="AA46" s="28"/>
      <c r="AB46" s="3">
        <v>6</v>
      </c>
      <c r="AC46" s="23">
        <f>IF(OR(M11="-",M11=""),0,IF(MID(M11,3,1)&gt;MID(M11,1,1),3,        IF(MID(M11,3,1)=MID(M11,1,1),1,         IF(MID(M11,3,1)&lt;MID(M11,1,1),0)        )))</f>
        <v>3</v>
      </c>
      <c r="AD46" s="17">
        <f>IF(OR(N11="-",N11=""),0,IF(MID(N11,3,1)&gt;MID(N11,1,1),3,        IF(MID(N11,3,1)=MID(N11,1,1),1,         IF(MID(N11,3,1)&lt;MID(N11,1,1),0)        )))</f>
        <v>3</v>
      </c>
      <c r="AE46" s="17">
        <f>IF(OR(O11="-",O11=""),0,IF(MID(O11,3,1)&gt;MID(O11,1,1),3,        IF(MID(O11,3,1)=MID(O11,1,1),1,         IF(MID(O11,3,1)&lt;MID(O11,1,1),0)        )))</f>
        <v>3</v>
      </c>
      <c r="AF46" s="17">
        <f>IF(OR(P11="-",P11=""),0,IF(MID(P11,3,1)&gt;MID(P11,1,1),3,        IF(MID(P11,3,1)=MID(P11,1,1),1,         IF(MID(P11,3,1)&lt;MID(P11,1,1),0)        )))</f>
        <v>3</v>
      </c>
      <c r="AG46" s="17">
        <f>IF(OR(Q11="-",Q11=""),0,IF(MID(Q11,3,1)&gt;MID(Q11,1,1),3,        IF(MID(Q11,3,1)=MID(Q11,1,1),1,         IF(MID(Q11,3,1)&lt;MID(Q11,1,1),0)        )))</f>
        <v>0</v>
      </c>
      <c r="AH46" s="28"/>
      <c r="AI46" s="36"/>
      <c r="AJ46" s="77"/>
      <c r="AR46" s="15" t="str">
        <f t="shared" si="516"/>
        <v>Îles Féroé</v>
      </c>
      <c r="AS46" s="16">
        <f t="shared" si="534"/>
        <v>-2</v>
      </c>
      <c r="AT46" s="16">
        <f t="shared" si="554"/>
        <v>-3</v>
      </c>
      <c r="AU46" s="16">
        <f t="shared" si="569"/>
        <v>-2</v>
      </c>
      <c r="AV46" s="16">
        <f t="shared" si="575"/>
        <v>-1</v>
      </c>
      <c r="AW46" s="16">
        <f t="shared" ref="AW46" si="581">BT46-CA46</f>
        <v>1</v>
      </c>
      <c r="AX46" s="82"/>
      <c r="AY46" s="45"/>
      <c r="AZ46" s="23">
        <f t="shared" si="535"/>
        <v>2</v>
      </c>
      <c r="BA46" s="17">
        <f t="shared" si="555"/>
        <v>3</v>
      </c>
      <c r="BB46" s="17">
        <f t="shared" si="570"/>
        <v>2</v>
      </c>
      <c r="BC46" s="17">
        <f t="shared" si="576"/>
        <v>1</v>
      </c>
      <c r="BD46" s="17">
        <f t="shared" ref="BD46" si="582">CA46-BT46</f>
        <v>-1</v>
      </c>
      <c r="BE46" s="28"/>
      <c r="BF46" s="77"/>
      <c r="BG46" s="77"/>
      <c r="BI46" s="77"/>
      <c r="BK46" s="77"/>
      <c r="BM46" s="77"/>
      <c r="BO46" s="15" t="str">
        <f t="shared" si="527"/>
        <v>Îles Féroé</v>
      </c>
      <c r="BP46" s="16">
        <f>IF(OR(M11="-",M11=""),0,_xlfn.NUMBERVALUE(MID(M11,1,1)))</f>
        <v>1</v>
      </c>
      <c r="BQ46" s="17">
        <f>IF(OR(N11="-",N11=""),0,_xlfn.NUMBERVALUE(MID(N11,1,1)))</f>
        <v>0</v>
      </c>
      <c r="BR46" s="17">
        <f>IF(OR(O11="-",O11=""),0,_xlfn.NUMBERVALUE(MID(O11,1,1)))</f>
        <v>1</v>
      </c>
      <c r="BS46" s="17">
        <f>IF(OR(P11="-",P11=""),0,_xlfn.NUMBERVALUE(MID(P11,1,1)))</f>
        <v>0</v>
      </c>
      <c r="BT46" s="17">
        <f>IF(OR(Q11="-",Q11=""),0,_xlfn.NUMBERVALUE(MID(Q11,1,1)))</f>
        <v>2</v>
      </c>
      <c r="BU46" s="28"/>
      <c r="BV46" s="18"/>
      <c r="BW46" s="34">
        <f>IF(OR(M11="-",M11=""),0,_xlfn.NUMBERVALUE(MID(M11,3,1)))</f>
        <v>3</v>
      </c>
      <c r="BX46" s="32">
        <f>IF(OR(N11="-",N11=""),0,_xlfn.NUMBERVALUE(MID(N11,3,1)))</f>
        <v>3</v>
      </c>
      <c r="BY46" s="32">
        <f>IF(OR(O11="-",O11=""),0,_xlfn.NUMBERVALUE(MID(O11,3,1)))</f>
        <v>3</v>
      </c>
      <c r="BZ46" s="32">
        <f>IF(OR(P11="-",P11=""),0,_xlfn.NUMBERVALUE(MID(P11,3,1)))</f>
        <v>1</v>
      </c>
      <c r="CA46" s="32">
        <f>IF(OR(Q11="-",Q11=""),0,_xlfn.NUMBERVALUE(MID(Q11,3,1)))</f>
        <v>1</v>
      </c>
      <c r="CB46" s="28"/>
      <c r="CL46" s="15" t="str">
        <f t="shared" si="528"/>
        <v>Îles Féroé</v>
      </c>
      <c r="CM46" s="16">
        <f>-CR41</f>
        <v>-6</v>
      </c>
      <c r="CN46" s="17">
        <f>-CR42</f>
        <v>-6</v>
      </c>
      <c r="CO46" s="17">
        <f>-CR43</f>
        <v>-6</v>
      </c>
      <c r="CP46" s="17">
        <f t="shared" ref="CP46" si="583">-CR44</f>
        <v>-6</v>
      </c>
      <c r="CQ46" s="17">
        <f t="shared" ref="CQ46" si="584">-CR45</f>
        <v>6</v>
      </c>
      <c r="CR46" s="28"/>
      <c r="CT46" s="8" t="str">
        <f t="shared" si="529"/>
        <v>Îles Féroé</v>
      </c>
      <c r="CU46" s="51">
        <f>$DK46+0.01*CM46+0.0001*(BP46+CB41)+0.000001*CB41</f>
        <v>5.9401000000000002</v>
      </c>
      <c r="CV46" s="51">
        <f>$DK46+0.01*CN46+0.0001*(BQ46+CB42)+0.000001*CB42</f>
        <v>5.94</v>
      </c>
      <c r="CW46" s="51">
        <f>$DK46+0.01*CO46+0.0001*(BR46+CB43)+0.000001*CB43</f>
        <v>5.9401000000000002</v>
      </c>
      <c r="CX46" s="51">
        <f>$DK46+0.01*CP46+0.0001*(BS46+CB44)+0.000001*CB44</f>
        <v>5.9401010000000003</v>
      </c>
      <c r="CY46" s="51">
        <f>$DK46+0.01*CQ46+0.0001*(BT46+CB45)+0.000001*CB45</f>
        <v>6.0603009999999999</v>
      </c>
      <c r="CZ46" s="55"/>
      <c r="DJ46" s="64" t="str">
        <f t="shared" si="531"/>
        <v>Îles Féroé</v>
      </c>
      <c r="DK46" s="67">
        <f>AP43</f>
        <v>6</v>
      </c>
      <c r="DL46" s="74">
        <f>COUNTIF(DC41:DG45,L11)</f>
        <v>1</v>
      </c>
      <c r="DM46" s="15" t="str">
        <f t="shared" si="532"/>
        <v>Îles Féroé</v>
      </c>
      <c r="DO46" s="15">
        <v>6</v>
      </c>
      <c r="DP46" s="70" t="str">
        <f>VLOOKUP(0,DL41:DM46,2,FALSE)</f>
        <v>Grèce</v>
      </c>
      <c r="DQ46" s="15">
        <v>6</v>
      </c>
      <c r="DR46" s="15">
        <f>VLOOKUP(DP46,U41:AB46,8,FALSE)</f>
        <v>5</v>
      </c>
    </row>
    <row r="47" spans="2:123" ht="15.75" customHeight="1" thickBot="1" x14ac:dyDescent="0.3">
      <c r="C47" s="540"/>
      <c r="D47" s="543"/>
      <c r="E47" s="239" t="s">
        <v>26</v>
      </c>
      <c r="F47" s="538"/>
      <c r="G47" s="541"/>
      <c r="H47" s="3"/>
      <c r="I47" s="3"/>
      <c r="J47" s="3"/>
      <c r="L47" s="23" t="str">
        <f>DP63</f>
        <v>Albanie</v>
      </c>
      <c r="M47" s="17" t="str">
        <f>I59</f>
        <v>Turquie</v>
      </c>
      <c r="N47" s="17" t="str">
        <f>G44</f>
        <v>Ukraine</v>
      </c>
      <c r="O47" s="17" t="str">
        <f>G46</f>
        <v>Suède</v>
      </c>
      <c r="P47" s="17" t="str">
        <f>G48</f>
        <v>Irlande</v>
      </c>
      <c r="Q47" s="24" t="str">
        <f>G50</f>
        <v>Hongrie</v>
      </c>
      <c r="T47" s="45"/>
      <c r="U47" s="45"/>
      <c r="V47" s="18"/>
      <c r="W47" s="18"/>
      <c r="X47" s="18"/>
      <c r="Y47" s="18"/>
      <c r="Z47" s="18"/>
      <c r="AA47" s="18"/>
      <c r="AC47" s="30" t="str">
        <f t="shared" ref="AC47:AH47" si="585">M12</f>
        <v>Autriche</v>
      </c>
      <c r="AD47" s="6" t="str">
        <f t="shared" si="585"/>
        <v>Russie</v>
      </c>
      <c r="AE47" s="6" t="str">
        <f t="shared" si="585"/>
        <v>Suède</v>
      </c>
      <c r="AF47" s="6" t="str">
        <f t="shared" si="585"/>
        <v>Monténégro</v>
      </c>
      <c r="AG47" s="6" t="str">
        <f t="shared" si="585"/>
        <v>Moldavie</v>
      </c>
      <c r="AH47" s="7" t="str">
        <f t="shared" si="585"/>
        <v>Liechtenstein</v>
      </c>
      <c r="AI47" s="36"/>
      <c r="AJ47" s="45"/>
      <c r="AQ47" s="45"/>
      <c r="AR47" s="45"/>
      <c r="AS47" s="45"/>
      <c r="AT47" s="45"/>
      <c r="AU47" s="45"/>
      <c r="AV47" s="45"/>
      <c r="AW47" s="45"/>
      <c r="AX47" s="45"/>
      <c r="AY47" s="45"/>
      <c r="AZ47" s="83" t="str">
        <f t="shared" ref="AZ47:BE47" si="586">M12</f>
        <v>Autriche</v>
      </c>
      <c r="BA47" s="84" t="str">
        <f t="shared" si="586"/>
        <v>Russie</v>
      </c>
      <c r="BB47" s="84" t="str">
        <f t="shared" si="586"/>
        <v>Suède</v>
      </c>
      <c r="BC47" s="84" t="str">
        <f t="shared" si="586"/>
        <v>Monténégro</v>
      </c>
      <c r="BD47" s="84" t="str">
        <f t="shared" si="586"/>
        <v>Moldavie</v>
      </c>
      <c r="BE47" s="85" t="str">
        <f t="shared" si="586"/>
        <v>Liechtenstein</v>
      </c>
      <c r="BF47" s="77"/>
      <c r="BG47" s="77"/>
      <c r="BI47" s="77"/>
      <c r="BK47" s="77"/>
      <c r="BM47" s="77"/>
      <c r="BO47" s="35"/>
      <c r="BP47" s="18"/>
      <c r="BQ47" s="18"/>
      <c r="BR47" s="18"/>
      <c r="BS47" s="18"/>
      <c r="BT47" s="18"/>
      <c r="BU47" s="18"/>
      <c r="BV47" s="18"/>
      <c r="BW47" s="30" t="str">
        <f t="shared" ref="BW47:CB47" si="587">M12</f>
        <v>Autriche</v>
      </c>
      <c r="BX47" s="6" t="str">
        <f t="shared" si="587"/>
        <v>Russie</v>
      </c>
      <c r="BY47" s="6" t="str">
        <f t="shared" si="587"/>
        <v>Suède</v>
      </c>
      <c r="BZ47" s="6" t="str">
        <f t="shared" si="587"/>
        <v>Monténégro</v>
      </c>
      <c r="CA47" s="6" t="str">
        <f t="shared" si="587"/>
        <v>Moldavie</v>
      </c>
      <c r="CB47" s="7" t="str">
        <f t="shared" si="587"/>
        <v>Liechtenstein</v>
      </c>
      <c r="CL47" s="35"/>
      <c r="CM47" s="30" t="str">
        <f t="shared" ref="CM47:CR47" si="588">M12</f>
        <v>Autriche</v>
      </c>
      <c r="CN47" s="6" t="str">
        <f t="shared" si="588"/>
        <v>Russie</v>
      </c>
      <c r="CO47" s="6" t="str">
        <f t="shared" si="588"/>
        <v>Suède</v>
      </c>
      <c r="CP47" s="6" t="str">
        <f t="shared" si="588"/>
        <v>Monténégro</v>
      </c>
      <c r="CQ47" s="6" t="str">
        <f t="shared" si="588"/>
        <v>Moldavie</v>
      </c>
      <c r="CR47" s="7" t="str">
        <f t="shared" si="588"/>
        <v>Liechtenstein</v>
      </c>
      <c r="CT47" s="49"/>
      <c r="CU47" s="30" t="str">
        <f t="shared" ref="CU47:CZ47" si="589">M12</f>
        <v>Autriche</v>
      </c>
      <c r="CV47" s="6" t="str">
        <f t="shared" si="589"/>
        <v>Russie</v>
      </c>
      <c r="CW47" s="6" t="str">
        <f t="shared" si="589"/>
        <v>Suède</v>
      </c>
      <c r="CX47" s="6" t="str">
        <f t="shared" si="589"/>
        <v>Monténégro</v>
      </c>
      <c r="CY47" s="6" t="str">
        <f t="shared" si="589"/>
        <v>Moldavie</v>
      </c>
      <c r="CZ47" s="7" t="str">
        <f t="shared" si="589"/>
        <v>Liechtenstein</v>
      </c>
      <c r="DC47" s="56" t="str">
        <f t="shared" ref="DC47" si="590">CZ47</f>
        <v>Liechtenstein</v>
      </c>
      <c r="DD47" s="57" t="str">
        <f t="shared" ref="DD47" si="591">CY47</f>
        <v>Moldavie</v>
      </c>
      <c r="DE47" s="57" t="str">
        <f t="shared" ref="DE47" si="592">CX47</f>
        <v>Monténégro</v>
      </c>
      <c r="DF47" s="57" t="str">
        <f t="shared" ref="DF47" si="593">CW47</f>
        <v>Suède</v>
      </c>
      <c r="DG47" s="58" t="str">
        <f t="shared" ref="DG47" si="594">CV47</f>
        <v>Russie</v>
      </c>
      <c r="DJ47" s="43"/>
      <c r="DK47" s="43"/>
      <c r="DM47" s="45"/>
    </row>
    <row r="48" spans="2:123" ht="15.75" customHeight="1" thickBot="1" x14ac:dyDescent="0.3">
      <c r="C48" s="540"/>
      <c r="D48" s="542" t="str">
        <f>C17</f>
        <v>Bosnie</v>
      </c>
      <c r="E48" s="236" t="s">
        <v>24</v>
      </c>
      <c r="F48" s="537" t="str">
        <f>C30</f>
        <v>Irlande</v>
      </c>
      <c r="G48" s="539" t="str">
        <f>IF(AND(E48&lt;&gt;"",E48&lt;&gt;"-",E49&lt;&gt;"",E49&lt;&gt;"-"),IF(MID(E48,1,1)+MID(E49,1,1)&gt;MID(E48,3,1)+MID(E49,3,1),D48,IF(MID(E48,3,1)+MID(E49,3,1)&gt;MID(E48,1,1)+MID(E49,1,1),F48,"Egalité")),"")</f>
        <v>Irlande</v>
      </c>
      <c r="H48" s="3"/>
      <c r="I48" s="3"/>
      <c r="J48" s="3"/>
      <c r="U48" s="25" t="str">
        <f t="shared" ref="U48:U53" si="595">L13</f>
        <v>Autriche</v>
      </c>
      <c r="V48" s="26"/>
      <c r="W48" s="20">
        <f>IF(OR(N13="-",N13=""),0,IF(MID(N13,1,1)&gt;MID(N13,3,1),3,        IF(MID(N13,1,1)=MID(N13,3,1),1,         IF(MID(N13,1,1)&lt;MID(N13,3,1),0)        )))</f>
        <v>3</v>
      </c>
      <c r="X48" s="20">
        <f>IF(OR(O13="-",O13=""),0,IF(MID(O13,1,1)&gt;MID(O13,3,1),3,        IF(MID(O13,1,1)=MID(O13,3,1),1,         IF(MID(O13,1,1)&lt;MID(O13,3,1),0)        )))</f>
        <v>1</v>
      </c>
      <c r="Y48" s="20">
        <f>IF(OR(P13="-",P13=""),0,IF(MID(P13,1,1)&gt;MID(P13,3,1),3,        IF(MID(P13,1,1)=MID(P13,3,1),1,         IF(MID(P13,1,1)&lt;MID(P13,3,1),0)        )))</f>
        <v>3</v>
      </c>
      <c r="Z48" s="20">
        <f>IF(OR(Q13="-",Q13=""),0,IF(MID(Q13,1,1)&gt;MID(Q13,3,1),3,        IF(MID(Q13,1,1)=MID(Q13,3,1),1,         IF(MID(Q13,1,1)&lt;MID(Q13,3,1),0)        )))</f>
        <v>3</v>
      </c>
      <c r="AA48" s="21">
        <f>IF(OR(R13="-",R13=""),0,IF(MID(R13,1,1)&gt;MID(R13,3,1),3,        IF(MID(R13,1,1)=MID(R13,3,1),1,         IF(MID(R13,1,1)&lt;MID(R13,3,1),0)        )))</f>
        <v>3</v>
      </c>
      <c r="AB48" s="3">
        <v>1</v>
      </c>
      <c r="AC48" s="29"/>
      <c r="AD48" s="9">
        <f>IF(OR(N13="-",N13=""),0,IF(MID(N13,3,1)&gt;MID(N13,1,1),3,        IF(MID(N13,3,1)=MID(N13,1,1),1,         IF(MID(N13,3,1)&lt;MID(N13,1,1),0)        )))</f>
        <v>0</v>
      </c>
      <c r="AE48" s="9">
        <f>IF(OR(O13="-",O13=""),0,IF(MID(O13,3,1)&gt;MID(O13,1,1),3,        IF(MID(O13,3,1)=MID(O13,1,1),1,         IF(MID(O13,3,1)&lt;MID(O13,1,1),0)        )))</f>
        <v>1</v>
      </c>
      <c r="AF48" s="9">
        <f>IF(OR(P13="-",P13=""),0,IF(MID(P13,3,1)&gt;MID(P13,1,1),3,        IF(MID(P13,3,1)=MID(P13,1,1),1,         IF(MID(P13,3,1)&lt;MID(P13,1,1),0)        )))</f>
        <v>0</v>
      </c>
      <c r="AG48" s="9">
        <f>IF(OR(Q13="-",Q13=""),0,IF(MID(Q13,3,1)&gt;MID(Q13,1,1),3,        IF(MID(Q13,3,1)=MID(Q13,1,1),1,         IF(MID(Q13,3,1)&lt;MID(Q13,1,1),0)        )))</f>
        <v>0</v>
      </c>
      <c r="AH48" s="10">
        <f>IF(OR(R13="-",R13=""),0,IF(MID(R13,3,1)&gt;MID(R13,1,1),3,        IF(MID(R13,3,1)=MID(R13,1,1),1,         IF(MID(R13,3,1)&lt;MID(R13,1,1),0)        )))</f>
        <v>0</v>
      </c>
      <c r="AI48" s="36"/>
      <c r="AJ48" s="45"/>
      <c r="AK48" s="525" t="s">
        <v>94</v>
      </c>
      <c r="AL48" s="526"/>
      <c r="AM48" s="526"/>
      <c r="AN48" s="526"/>
      <c r="AO48" s="526"/>
      <c r="AP48" s="527"/>
      <c r="AQ48" s="18"/>
      <c r="AR48" s="25" t="str">
        <f t="shared" ref="AR48:AR53" si="596">L13</f>
        <v>Autriche</v>
      </c>
      <c r="AS48" s="26"/>
      <c r="AT48" s="81">
        <f t="shared" ref="AT48" si="597">BQ48-BX48</f>
        <v>1</v>
      </c>
      <c r="AU48" s="81">
        <f t="shared" ref="AU48:AU49" si="598">BR48-BY48</f>
        <v>0</v>
      </c>
      <c r="AV48" s="81">
        <f t="shared" ref="AV48:AV50" si="599">BS48-BZ48</f>
        <v>1</v>
      </c>
      <c r="AW48" s="81">
        <f t="shared" ref="AW48:AW51" si="600">BT48-CA48</f>
        <v>1</v>
      </c>
      <c r="AX48" s="68">
        <f t="shared" ref="AX48:AX52" si="601">BU48-CB48</f>
        <v>3</v>
      </c>
      <c r="AY48" s="45"/>
      <c r="AZ48" s="86"/>
      <c r="BA48" s="20">
        <f t="shared" ref="BA48" si="602">BX48-BQ48</f>
        <v>-1</v>
      </c>
      <c r="BB48" s="20">
        <f t="shared" ref="BB48:BB49" si="603">BY48-BR48</f>
        <v>0</v>
      </c>
      <c r="BC48" s="20">
        <f t="shared" ref="BC48:BC50" si="604">BZ48-BS48</f>
        <v>-1</v>
      </c>
      <c r="BD48" s="20">
        <f t="shared" ref="BD48:BD51" si="605">CA48-BT48</f>
        <v>-1</v>
      </c>
      <c r="BE48" s="21">
        <f t="shared" ref="BE48:BE52" si="606">CB48-BU48</f>
        <v>-3</v>
      </c>
      <c r="BF48" s="77"/>
      <c r="BO48" s="25" t="str">
        <f t="shared" ref="BO48:BO53" si="607">L13</f>
        <v>Autriche</v>
      </c>
      <c r="BP48" s="26"/>
      <c r="BQ48" s="20">
        <f>IF(OR(N13="-",N13=""),0,_xlfn.NUMBERVALUE(MID(N13,1,1)))</f>
        <v>1</v>
      </c>
      <c r="BR48" s="20">
        <f>IF(OR(O13="-",O13=""),0,_xlfn.NUMBERVALUE(MID(O13,1,1)))</f>
        <v>1</v>
      </c>
      <c r="BS48" s="20">
        <f>IF(OR(P13="-",P13=""),0,_xlfn.NUMBERVALUE(MID(P13,1,1)))</f>
        <v>1</v>
      </c>
      <c r="BT48" s="20">
        <f>IF(OR(Q13="-",Q13=""),0,_xlfn.NUMBERVALUE(MID(Q13,1,1)))</f>
        <v>1</v>
      </c>
      <c r="BU48" s="21">
        <f>IF(OR(R13="-",R13=""),0,_xlfn.NUMBERVALUE(MID(R13,1,1)))</f>
        <v>3</v>
      </c>
      <c r="BV48" s="18"/>
      <c r="BW48" s="29"/>
      <c r="BX48" s="9">
        <f>IF(OR(N13="-",N13=""),0,_xlfn.NUMBERVALUE(MID(N13,3,1)))</f>
        <v>0</v>
      </c>
      <c r="BY48" s="9">
        <f>IF(OR(O13="-",O13=""),0,_xlfn.NUMBERVALUE(MID(O13,3,1)))</f>
        <v>1</v>
      </c>
      <c r="BZ48" s="9">
        <f>IF(OR(P13="-",P13=""),0,_xlfn.NUMBERVALUE(MID(P13,3,1)))</f>
        <v>0</v>
      </c>
      <c r="CA48" s="9">
        <f>IF(OR(Q13="-",Q13=""),0,_xlfn.NUMBERVALUE(MID(Q13,3,1)))</f>
        <v>0</v>
      </c>
      <c r="CB48" s="10">
        <f>IF(OR(R13="-",R13=""),0,_xlfn.NUMBERVALUE(MID(R13,3,1)))</f>
        <v>0</v>
      </c>
      <c r="CE48" s="525" t="s">
        <v>90</v>
      </c>
      <c r="CF48" s="526"/>
      <c r="CG48" s="526"/>
      <c r="CH48" s="526"/>
      <c r="CI48" s="526"/>
      <c r="CJ48" s="527"/>
      <c r="CL48" s="25" t="str">
        <f t="shared" ref="CL48:CL53" si="608">L13</f>
        <v>Autriche</v>
      </c>
      <c r="CM48" s="46"/>
      <c r="CN48" s="9">
        <f t="shared" ref="CN48" si="609">W48+AC49-(V49+AD48)</f>
        <v>6</v>
      </c>
      <c r="CO48" s="9">
        <f t="shared" ref="CO48" si="610">X48+AC50-(V50+AE48)</f>
        <v>3</v>
      </c>
      <c r="CP48" s="9">
        <f t="shared" ref="CP48" si="611">Y48+AC51-(V51+AF48)</f>
        <v>6</v>
      </c>
      <c r="CQ48" s="9">
        <f t="shared" ref="CQ48" si="612">Z48+AC52-(V52+AG48)</f>
        <v>6</v>
      </c>
      <c r="CR48" s="10">
        <f t="shared" ref="CR48" si="613">AC53+AA48-(V53+AH48)</f>
        <v>6</v>
      </c>
      <c r="CT48" s="8" t="str">
        <f t="shared" ref="CT48:CT53" si="614">L13</f>
        <v>Autriche</v>
      </c>
      <c r="CU48" s="47"/>
      <c r="CV48" s="51">
        <f>$DK48+0.01*CN48+0.0001*(BQ48+BW49)+0.000001*BW49</f>
        <v>28.060200999999999</v>
      </c>
      <c r="CW48" s="51">
        <f>$DK48+0.01*CO48+0.0001*(BR48+BW50)+0.000001*BW50</f>
        <v>28.030504000000001</v>
      </c>
      <c r="CX48" s="51">
        <f>$DK48+0.01*CP48+0.0001*(BS48+BW51)+0.000001*BW51</f>
        <v>28.060402999999997</v>
      </c>
      <c r="CY48" s="51">
        <f>$DK48+0.01*CQ48+0.0001*(BT48+BW52)+0.000001*BW52</f>
        <v>28.060301999999997</v>
      </c>
      <c r="CZ48" s="52">
        <f>$DK48+0.01*CR48+0.0001*(BU48+BW53)+0.000001*BW53</f>
        <v>28.060805000000002</v>
      </c>
      <c r="DB48" s="60" t="str">
        <f t="shared" ref="DB48:DB52" si="615">CT48</f>
        <v>Autriche</v>
      </c>
      <c r="DC48" s="3" t="str">
        <f t="shared" ref="DC48" si="616">IF(CZ48&gt;=CU53,CT48,CT53)</f>
        <v>Autriche</v>
      </c>
      <c r="DD48" s="3" t="str">
        <f t="shared" ref="DD48" si="617">IF(CY48&gt;=CU52,CT48,CT52)</f>
        <v>Autriche</v>
      </c>
      <c r="DE48" s="3" t="str">
        <f t="shared" ref="DE48" si="618">IF(CX48&gt;=CU51,CT48,CT51)</f>
        <v>Autriche</v>
      </c>
      <c r="DF48" s="3" t="str">
        <f t="shared" ref="DF48" si="619">IF(CW48&gt;=CU50,CT48,CT50)</f>
        <v>Autriche</v>
      </c>
      <c r="DG48" s="3" t="str">
        <f t="shared" ref="DG48" si="620">IF(CV48&gt;=CU49,CT48,CT49)</f>
        <v>Autriche</v>
      </c>
      <c r="DJ48" s="62" t="str">
        <f t="shared" ref="DJ48:DJ53" si="621">L13</f>
        <v>Autriche</v>
      </c>
      <c r="DK48" s="65">
        <f t="shared" ref="DK48" si="622">AK50</f>
        <v>28</v>
      </c>
      <c r="DL48" s="72">
        <f>COUNTIF(DC48:DG52,L13)</f>
        <v>5</v>
      </c>
      <c r="DM48" s="25" t="str">
        <f t="shared" ref="DM48:DM53" si="623">L13</f>
        <v>Autriche</v>
      </c>
      <c r="DO48" s="25">
        <v>1</v>
      </c>
      <c r="DP48" s="68" t="str">
        <f>VLOOKUP(5,DL48:DM53,2,FALSE)</f>
        <v>Autriche</v>
      </c>
      <c r="DQ48" s="25">
        <v>1</v>
      </c>
      <c r="DR48" s="25">
        <f t="shared" ref="DR48" si="624">VLOOKUP(DP48,U48:AB53,8,FALSE)</f>
        <v>1</v>
      </c>
    </row>
    <row r="49" spans="2:122" ht="15.75" customHeight="1" thickBot="1" x14ac:dyDescent="0.3">
      <c r="C49" s="540"/>
      <c r="D49" s="543"/>
      <c r="E49" s="237" t="s">
        <v>32</v>
      </c>
      <c r="F49" s="538"/>
      <c r="G49" s="541"/>
      <c r="H49" s="3"/>
      <c r="I49" s="3"/>
      <c r="J49" s="3"/>
      <c r="U49" s="11" t="str">
        <f t="shared" si="595"/>
        <v>Russie</v>
      </c>
      <c r="V49" s="12">
        <f>IF(OR(M14="-",M14=""),0,IF(MID(M14,1,1)&gt;MID(M14,3,1),3,        IF(MID(M14,1,1)=MID(M14,3,1),1,         IF(MID(M14,1,1)&lt;MID(M14,3,1),0)        )))</f>
        <v>0</v>
      </c>
      <c r="W49" s="27"/>
      <c r="X49" s="13">
        <f>IF(OR(O14="-",O14=""),0,IF(MID(O14,1,1)&gt;MID(O14,3,1),3,        IF(MID(O14,1,1)=MID(O14,3,1),1,         IF(MID(O14,1,1)&lt;MID(O14,3,1),0)        )))</f>
        <v>3</v>
      </c>
      <c r="Y49" s="13">
        <f>IF(OR(P14="-",P14=""),0,IF(MID(P14,1,1)&gt;MID(P14,3,1),3,        IF(MID(P14,1,1)=MID(P14,3,1),1,         IF(MID(P14,1,1)&lt;MID(P14,3,1),0)        )))</f>
        <v>3</v>
      </c>
      <c r="Z49" s="13">
        <f>IF(OR(Q14="-",Q14=""),0,IF(MID(Q14,1,1)&gt;MID(Q14,3,1),3,        IF(MID(Q14,1,1)=MID(Q14,3,1),1,         IF(MID(Q14,1,1)&lt;MID(Q14,3,1),0)        )))</f>
        <v>1</v>
      </c>
      <c r="AA49" s="14">
        <f>IF(OR(R14="-",R14=""),0,IF(MID(R14,1,1)&gt;MID(R14,3,1),3,        IF(MID(R14,1,1)=MID(R14,3,1),1,         IF(MID(R14,1,1)&lt;MID(R14,3,1),0)        )))</f>
        <v>3</v>
      </c>
      <c r="AB49" s="3">
        <v>2</v>
      </c>
      <c r="AC49" s="22">
        <f>IF(OR(M14="-",M14=""),0,IF(MID(M14,3,1)&gt;MID(M14,1,1),3,        IF(MID(M14,3,1)=MID(M14,1,1),1,         IF(MID(M14,3,1)&lt;MID(M14,1,1),0)        )))</f>
        <v>3</v>
      </c>
      <c r="AD49" s="27"/>
      <c r="AE49" s="13">
        <f>IF(OR(O14="-",O14=""),0,IF(MID(O14,3,1)&gt;MID(O14,1,1),3,        IF(MID(O14,3,1)=MID(O14,1,1),1,         IF(MID(O14,3,1)&lt;MID(O14,1,1),0)        )))</f>
        <v>0</v>
      </c>
      <c r="AF49" s="13">
        <f>IF(OR(P14="-",P14=""),0,IF(MID(P14,3,1)&gt;MID(P14,1,1),3,        IF(MID(P14,3,1)=MID(P14,1,1),1,         IF(MID(P14,3,1)&lt;MID(P14,1,1),0)        )))</f>
        <v>0</v>
      </c>
      <c r="AG49" s="13">
        <f>IF(OR(Q14="-",Q14=""),0,IF(MID(Q14,3,1)&gt;MID(Q14,1,1),3,        IF(MID(Q14,3,1)=MID(Q14,1,1),1,         IF(MID(Q14,3,1)&lt;MID(Q14,1,1),0)        )))</f>
        <v>1</v>
      </c>
      <c r="AH49" s="14">
        <f>IF(OR(R14="-",R14=""),0,IF(MID(R14,3,1)&gt;MID(R14,1,1),3,        IF(MID(R14,3,1)=MID(R14,1,1),1,         IF(MID(R14,3,1)&lt;MID(R14,1,1),0)        )))</f>
        <v>0</v>
      </c>
      <c r="AI49" s="247"/>
      <c r="AJ49" s="247"/>
      <c r="AK49" s="31" t="str">
        <f t="shared" ref="AK49:AP49" si="625">M12</f>
        <v>Autriche</v>
      </c>
      <c r="AL49" s="9" t="str">
        <f t="shared" si="625"/>
        <v>Russie</v>
      </c>
      <c r="AM49" s="9" t="str">
        <f t="shared" si="625"/>
        <v>Suède</v>
      </c>
      <c r="AN49" s="9" t="str">
        <f t="shared" si="625"/>
        <v>Monténégro</v>
      </c>
      <c r="AO49" s="9" t="str">
        <f t="shared" si="625"/>
        <v>Moldavie</v>
      </c>
      <c r="AP49" s="10" t="str">
        <f t="shared" si="625"/>
        <v>Liechtenstein</v>
      </c>
      <c r="AQ49" s="45"/>
      <c r="AR49" s="11" t="str">
        <f t="shared" si="596"/>
        <v>Russie</v>
      </c>
      <c r="AS49" s="12">
        <f t="shared" ref="AS49:AS53" si="626">BP49-BW49</f>
        <v>-1</v>
      </c>
      <c r="AT49" s="80"/>
      <c r="AU49" s="12">
        <f t="shared" si="598"/>
        <v>1</v>
      </c>
      <c r="AV49" s="12">
        <f t="shared" si="599"/>
        <v>2</v>
      </c>
      <c r="AW49" s="12">
        <f t="shared" si="600"/>
        <v>0</v>
      </c>
      <c r="AX49" s="69">
        <f t="shared" si="601"/>
        <v>4</v>
      </c>
      <c r="AY49" s="45"/>
      <c r="AZ49" s="22">
        <f t="shared" ref="AZ49:AZ53" si="627">BW49-BP49</f>
        <v>1</v>
      </c>
      <c r="BA49" s="27"/>
      <c r="BB49" s="13">
        <f t="shared" si="603"/>
        <v>-1</v>
      </c>
      <c r="BC49" s="13">
        <f t="shared" si="604"/>
        <v>-2</v>
      </c>
      <c r="BD49" s="13">
        <f t="shared" si="605"/>
        <v>0</v>
      </c>
      <c r="BE49" s="14">
        <f t="shared" si="606"/>
        <v>-4</v>
      </c>
      <c r="BF49" s="247"/>
      <c r="BG49" s="3"/>
      <c r="BH49" s="525" t="s">
        <v>104</v>
      </c>
      <c r="BI49" s="526"/>
      <c r="BJ49" s="526"/>
      <c r="BK49" s="526"/>
      <c r="BL49" s="526"/>
      <c r="BM49" s="527"/>
      <c r="BO49" s="11" t="str">
        <f t="shared" si="607"/>
        <v>Russie</v>
      </c>
      <c r="BP49" s="12">
        <f>IF(OR(M14="-",M14=""),0,_xlfn.NUMBERVALUE(MID(M14,1,1)))</f>
        <v>0</v>
      </c>
      <c r="BQ49" s="27"/>
      <c r="BR49" s="13">
        <f>IF(OR(O14="-",O14=""),0,_xlfn.NUMBERVALUE(MID(O14,1,1)))</f>
        <v>1</v>
      </c>
      <c r="BS49" s="13">
        <f>IF(OR(P14="-",P14=""),0,_xlfn.NUMBERVALUE(MID(P14,1,1)))</f>
        <v>2</v>
      </c>
      <c r="BT49" s="13">
        <f>IF(OR(Q14="-",Q14=""),0,_xlfn.NUMBERVALUE(MID(Q14,1,1)))</f>
        <v>1</v>
      </c>
      <c r="BU49" s="14">
        <f>IF(OR(R14="-",R14=""),0,_xlfn.NUMBERVALUE(MID(R14,1,1)))</f>
        <v>4</v>
      </c>
      <c r="BV49" s="45"/>
      <c r="BW49" s="31">
        <f>IF(OR(M14="-",M14=""),0,_xlfn.NUMBERVALUE(MID(M14,3,1)))</f>
        <v>1</v>
      </c>
      <c r="BX49" s="27"/>
      <c r="BY49" s="9">
        <f>IF(OR(O14="-",O14=""),0,_xlfn.NUMBERVALUE(MID(O14,3,1)))</f>
        <v>0</v>
      </c>
      <c r="BZ49" s="9">
        <f>IF(OR(P14="-",P14=""),0,_xlfn.NUMBERVALUE(MID(P14,3,1)))</f>
        <v>0</v>
      </c>
      <c r="CA49" s="9">
        <f>IF(OR(Q14="-",Q14=""),0,_xlfn.NUMBERVALUE(MID(Q14,3,1)))</f>
        <v>1</v>
      </c>
      <c r="CB49" s="10">
        <f>IF(OR(R14="-",R14=""),0,_xlfn.NUMBERVALUE(MID(R14,3,1)))</f>
        <v>0</v>
      </c>
      <c r="CD49" s="4" t="s">
        <v>86</v>
      </c>
      <c r="CE49" s="5" t="str">
        <f t="shared" ref="CE49:CJ49" si="628">M12</f>
        <v>Autriche</v>
      </c>
      <c r="CF49" s="6" t="str">
        <f t="shared" si="628"/>
        <v>Russie</v>
      </c>
      <c r="CG49" s="6" t="str">
        <f t="shared" si="628"/>
        <v>Suède</v>
      </c>
      <c r="CH49" s="6" t="str">
        <f t="shared" si="628"/>
        <v>Monténégro</v>
      </c>
      <c r="CI49" s="6" t="str">
        <f t="shared" si="628"/>
        <v>Moldavie</v>
      </c>
      <c r="CJ49" s="7" t="str">
        <f t="shared" si="628"/>
        <v>Liechtenstein</v>
      </c>
      <c r="CL49" s="11" t="str">
        <f t="shared" si="608"/>
        <v>Russie</v>
      </c>
      <c r="CM49" s="9">
        <f t="shared" ref="CM49" si="629">-CN48</f>
        <v>-6</v>
      </c>
      <c r="CN49" s="27"/>
      <c r="CO49" s="37">
        <f t="shared" ref="CO49" si="630">X49+AD50-(W50+AE49)</f>
        <v>3</v>
      </c>
      <c r="CP49" s="37">
        <f t="shared" ref="CP49" si="631">Y49+AD51-(W51+AF49)</f>
        <v>6</v>
      </c>
      <c r="CQ49" s="37">
        <f t="shared" ref="CQ49" si="632">Z49+AD52-(W52+AG49)</f>
        <v>3</v>
      </c>
      <c r="CR49" s="41">
        <f t="shared" ref="CR49" si="633">AA49+AD53-(W53+AH49)</f>
        <v>6</v>
      </c>
      <c r="CT49" s="8" t="str">
        <f t="shared" si="614"/>
        <v>Russie</v>
      </c>
      <c r="CU49" s="51">
        <f>$DK49+0.01*CM49+0.0001*(BP49+BX48)+0.000001*BX48</f>
        <v>19.940000000000001</v>
      </c>
      <c r="CV49" s="47"/>
      <c r="CW49" s="51">
        <f>$DK49+0.01*CO49+0.0001*(BR49+BX50)+0.000001*BX50</f>
        <v>20.030201000000002</v>
      </c>
      <c r="CX49" s="51">
        <f>$DK49+0.01*CP49+0.0001*(BS49+BX51)+0.000001*BX51</f>
        <v>20.060502999999997</v>
      </c>
      <c r="CY49" s="51">
        <f>$DK49+0.01*CQ49+0.0001*(BT49+BX52)+0.000001*BX52</f>
        <v>20.030301999999999</v>
      </c>
      <c r="CZ49" s="52">
        <f>$DK49+0.01*CR49+0.0001*(BU49+BX53)+0.000001*BX53</f>
        <v>20.061107</v>
      </c>
      <c r="DB49" s="61" t="str">
        <f t="shared" si="615"/>
        <v>Russie</v>
      </c>
      <c r="DC49" s="3" t="str">
        <f t="shared" ref="DC49" si="634">IF(CZ49&gt;=CV53,CT49,CT53)</f>
        <v>Russie</v>
      </c>
      <c r="DD49" s="3" t="str">
        <f t="shared" ref="DD49" si="635">IF(CY49&gt;=CV52,CT49,CT52)</f>
        <v>Russie</v>
      </c>
      <c r="DE49" s="3" t="str">
        <f t="shared" ref="DE49" si="636">IF(CX49&gt;=CV51,CT49,CT51)</f>
        <v>Russie</v>
      </c>
      <c r="DF49" s="3" t="str">
        <f t="shared" ref="DF49" si="637">IF(CW49&gt;=CV50,CT49,CT50)</f>
        <v>Russie</v>
      </c>
      <c r="DJ49" s="63" t="str">
        <f t="shared" si="621"/>
        <v>Russie</v>
      </c>
      <c r="DK49" s="66">
        <f t="shared" ref="DK49" si="638">AL50</f>
        <v>20</v>
      </c>
      <c r="DL49" s="73">
        <f>COUNTIF(DC48:DG52,L14)</f>
        <v>4</v>
      </c>
      <c r="DM49" s="11" t="str">
        <f t="shared" si="623"/>
        <v>Russie</v>
      </c>
      <c r="DO49" s="11">
        <v>2</v>
      </c>
      <c r="DP49" s="69" t="str">
        <f>VLOOKUP(4,DL48:DM53,2,FALSE)</f>
        <v>Russie</v>
      </c>
      <c r="DQ49" s="11">
        <v>2</v>
      </c>
      <c r="DR49" s="11">
        <f t="shared" ref="DR49" si="639">VLOOKUP(DP49,U48:AB53,8,FALSE)</f>
        <v>2</v>
      </c>
    </row>
    <row r="50" spans="2:122" ht="15.75" customHeight="1" thickBot="1" x14ac:dyDescent="0.3">
      <c r="B50" s="3"/>
      <c r="C50" s="540"/>
      <c r="D50" s="542" t="str">
        <f>L9</f>
        <v>Hongrie</v>
      </c>
      <c r="E50" s="238" t="s">
        <v>40</v>
      </c>
      <c r="F50" s="537" t="str">
        <f>L22</f>
        <v>Norvège</v>
      </c>
      <c r="G50" s="539" t="str">
        <f>IF(AND(E50&lt;&gt;"",E50&lt;&gt;"-",E51&lt;&gt;"",E51&lt;&gt;"-"),IF(MID(E50,1,1)+MID(E51,1,1)&gt;MID(E50,3,1)+MID(E51,3,1),D50,IF(MID(E50,3,1)+MID(E51,3,1)&gt;MID(E50,1,1)+MID(E51,1,1),F50,"Egalité")),"")</f>
        <v>Hongrie</v>
      </c>
      <c r="H50" s="95"/>
      <c r="I50" s="3"/>
      <c r="J50" s="3"/>
      <c r="U50" s="11" t="str">
        <f t="shared" si="595"/>
        <v>Suède</v>
      </c>
      <c r="V50" s="12">
        <f>IF(OR(M15="-",M15=""),0,IF(MID(M15,1,1)&gt;MID(M15,3,1),3,        IF(MID(M15,1,1)=MID(M15,3,1),1,         IF(MID(M15,1,1)&lt;MID(M15,3,1),0)        )))</f>
        <v>0</v>
      </c>
      <c r="W50" s="13">
        <f>IF(OR(N15="-",N15=""),0,IF(MID(N15,1,1)&gt;MID(N15,3,1),3,        IF(MID(N15,1,1)=MID(N15,3,1),1,         IF(MID(N15,1,1)&lt;MID(N15,3,1),0)        )))</f>
        <v>1</v>
      </c>
      <c r="X50" s="27"/>
      <c r="Y50" s="13">
        <f>IF(OR(P15="-",P15=""),0,IF(MID(P15,1,1)&gt;MID(P15,3,1),3,        IF(MID(P15,1,1)=MID(P15,3,1),1,         IF(MID(P15,1,1)&lt;MID(P15,3,1),0)        )))</f>
        <v>3</v>
      </c>
      <c r="Z50" s="13">
        <f>IF(OR(Q15="-",Q15=""),0,IF(MID(Q15,1,1)&gt;MID(Q15,3,1),3,        IF(MID(Q15,1,1)=MID(Q15,3,1),1,         IF(MID(Q15,1,1)&lt;MID(Q15,3,1),0)        )))</f>
        <v>3</v>
      </c>
      <c r="AA50" s="14">
        <f>IF(OR(R15="-",R15=""),0,IF(MID(R15,1,1)&gt;MID(R15,3,1),3,        IF(MID(R15,1,1)=MID(R15,3,1),1,         IF(MID(R15,1,1)&lt;MID(R15,3,1),0)        )))</f>
        <v>3</v>
      </c>
      <c r="AB50" s="3">
        <v>3</v>
      </c>
      <c r="AC50" s="22">
        <f>IF(OR(M15="-",M15=""),0,IF(MID(M15,3,1)&gt;MID(M15,1,1),3,        IF(MID(M15,3,1)=MID(M15,1,1),1,         IF(MID(M15,3,1)&lt;MID(M15,1,1),0)        )))</f>
        <v>3</v>
      </c>
      <c r="AD50" s="13">
        <f>IF(OR(N15="-",N15=""),0,IF(MID(N15,3,1)&gt;MID(N15,1,1),3,        IF(MID(N15,3,1)=MID(N15,1,1),1,         IF(MID(N15,3,1)&lt;MID(N15,1,1),0)        )))</f>
        <v>1</v>
      </c>
      <c r="AE50" s="27"/>
      <c r="AF50" s="13">
        <f>IF(OR(P15="-",P15=""),0,IF(MID(P15,3,1)&gt;MID(P15,1,1),3,        IF(MID(P15,3,1)=MID(P15,1,1),1,         IF(MID(P15,3,1)&lt;MID(P15,1,1),0)        )))</f>
        <v>0</v>
      </c>
      <c r="AG50" s="13">
        <f>IF(OR(Q15="-",Q15=""),0,IF(MID(Q15,3,1)&gt;MID(Q15,1,1),3,        IF(MID(Q15,3,1)=MID(Q15,1,1),1,         IF(MID(Q15,3,1)&lt;MID(Q15,1,1),0)        )))</f>
        <v>0</v>
      </c>
      <c r="AH50" s="14">
        <f>IF(OR(R15="-",R15=""),0,IF(MID(R15,3,1)&gt;MID(R15,1,1),3,        IF(MID(R15,3,1)=MID(R15,1,1),1,         IF(MID(R15,3,1)&lt;MID(R15,1,1),0)        )))</f>
        <v>0</v>
      </c>
      <c r="AI50" s="247"/>
      <c r="AJ50" s="247"/>
      <c r="AK50" s="23">
        <f t="shared" ref="AK50" si="640">SUM(W48:AA48,AC49:AC53)</f>
        <v>28</v>
      </c>
      <c r="AL50" s="17">
        <f t="shared" ref="AL50" si="641">SUM(V49,X49:AA49,AD48,AD50:AD53)</f>
        <v>20</v>
      </c>
      <c r="AM50" s="17">
        <f t="shared" ref="AM50" si="642">SUM(V50:W50,Y50:AA50,AE48:AE49,AE51:AE53)</f>
        <v>18</v>
      </c>
      <c r="AN50" s="17">
        <f t="shared" ref="AN50" si="643">SUM(V51:X51,Z51:AA51,AF48:AF50,AF52:AF53)</f>
        <v>11</v>
      </c>
      <c r="AO50" s="17">
        <f t="shared" ref="AO50" si="644">SUM(V52:Y52,AA52,AG48:AG51,AG53)</f>
        <v>2</v>
      </c>
      <c r="AP50" s="24">
        <f t="shared" ref="AP50" si="645">SUM(V53:Z53,AH48:AH52)</f>
        <v>5</v>
      </c>
      <c r="AQ50" s="45"/>
      <c r="AR50" s="11" t="str">
        <f t="shared" si="596"/>
        <v>Suède</v>
      </c>
      <c r="AS50" s="12">
        <f t="shared" si="626"/>
        <v>-3</v>
      </c>
      <c r="AT50" s="12">
        <f t="shared" ref="AT50:AT53" si="646">BQ50-BX50</f>
        <v>0</v>
      </c>
      <c r="AU50" s="80"/>
      <c r="AV50" s="12">
        <f t="shared" si="599"/>
        <v>2</v>
      </c>
      <c r="AW50" s="12">
        <f t="shared" si="600"/>
        <v>2</v>
      </c>
      <c r="AX50" s="69">
        <f t="shared" si="601"/>
        <v>2</v>
      </c>
      <c r="AY50" s="45"/>
      <c r="AZ50" s="22">
        <f t="shared" si="627"/>
        <v>3</v>
      </c>
      <c r="BA50" s="13">
        <f t="shared" ref="BA50:BA53" si="647">BX50-BQ50</f>
        <v>0</v>
      </c>
      <c r="BB50" s="27"/>
      <c r="BC50" s="13">
        <f t="shared" si="604"/>
        <v>-2</v>
      </c>
      <c r="BD50" s="13">
        <f t="shared" si="605"/>
        <v>-2</v>
      </c>
      <c r="BE50" s="14">
        <f t="shared" si="606"/>
        <v>-2</v>
      </c>
      <c r="BF50" s="247"/>
      <c r="BG50" s="4" t="s">
        <v>86</v>
      </c>
      <c r="BH50" s="5" t="str">
        <f t="shared" ref="BH50:BM50" si="648">M12</f>
        <v>Autriche</v>
      </c>
      <c r="BI50" s="5" t="str">
        <f t="shared" si="648"/>
        <v>Russie</v>
      </c>
      <c r="BJ50" s="5" t="str">
        <f t="shared" si="648"/>
        <v>Suède</v>
      </c>
      <c r="BK50" s="5" t="str">
        <f t="shared" si="648"/>
        <v>Monténégro</v>
      </c>
      <c r="BL50" s="5" t="str">
        <f t="shared" si="648"/>
        <v>Moldavie</v>
      </c>
      <c r="BM50" s="246" t="str">
        <f t="shared" si="648"/>
        <v>Liechtenstein</v>
      </c>
      <c r="BO50" s="11" t="str">
        <f t="shared" si="607"/>
        <v>Suède</v>
      </c>
      <c r="BP50" s="12">
        <f>IF(OR(M15="-",M15=""),0,_xlfn.NUMBERVALUE(MID(M15,1,1)))</f>
        <v>1</v>
      </c>
      <c r="BQ50" s="13">
        <f>IF(OR(N15="-",N15=""),0,_xlfn.NUMBERVALUE(MID(N15,1,1)))</f>
        <v>1</v>
      </c>
      <c r="BR50" s="27"/>
      <c r="BS50" s="13">
        <f>IF(OR(P15="-",P15=""),0,_xlfn.NUMBERVALUE(MID(P15,1,1)))</f>
        <v>3</v>
      </c>
      <c r="BT50" s="13">
        <f>IF(OR(Q15="-",Q15=""),0,_xlfn.NUMBERVALUE(MID(Q15,1,1)))</f>
        <v>2</v>
      </c>
      <c r="BU50" s="14">
        <f>IF(OR(R15="-",R15=""),0,_xlfn.NUMBERVALUE(MID(R15,1,1)))</f>
        <v>2</v>
      </c>
      <c r="BV50" s="45"/>
      <c r="BW50" s="31">
        <f>IF(OR(M15="-",M15=""),0,_xlfn.NUMBERVALUE(MID(M15,3,1)))</f>
        <v>4</v>
      </c>
      <c r="BX50" s="9">
        <f>IF(OR(N15="-",N15=""),0,_xlfn.NUMBERVALUE(MID(N15,3,1)))</f>
        <v>1</v>
      </c>
      <c r="BY50" s="27"/>
      <c r="BZ50" s="9">
        <f>IF(OR(P15="-",P15=""),0,_xlfn.NUMBERVALUE(MID(P15,3,1)))</f>
        <v>1</v>
      </c>
      <c r="CA50" s="9">
        <f>IF(OR(Q15="-",Q15=""),0,_xlfn.NUMBERVALUE(MID(Q15,3,1)))</f>
        <v>0</v>
      </c>
      <c r="CB50" s="10">
        <f>IF(OR(R15="-",R15=""),0,_xlfn.NUMBERVALUE(MID(R15,3,1)))</f>
        <v>0</v>
      </c>
      <c r="CD50" s="8" t="s">
        <v>91</v>
      </c>
      <c r="CE50" s="39">
        <f t="shared" ref="CE50" si="649">SUM(BQ48:BU48)</f>
        <v>7</v>
      </c>
      <c r="CF50" s="9">
        <f>SUM(BP49,BR49:BU49)</f>
        <v>8</v>
      </c>
      <c r="CG50" s="9">
        <f>SUM(BP50:BQ50,BS50:BU50)</f>
        <v>9</v>
      </c>
      <c r="CH50" s="9">
        <f>SUM(BP51:BR51,BT51:BU51)</f>
        <v>7</v>
      </c>
      <c r="CI50" s="9">
        <f>SUM(BP52:BS52,BU52)</f>
        <v>2</v>
      </c>
      <c r="CJ50" s="10">
        <f t="shared" ref="CJ50" si="650">SUM(BP53:BT53)</f>
        <v>1</v>
      </c>
      <c r="CL50" s="11" t="str">
        <f t="shared" si="608"/>
        <v>Suède</v>
      </c>
      <c r="CM50" s="12">
        <f t="shared" ref="CM50" si="651">-CO48</f>
        <v>-3</v>
      </c>
      <c r="CN50" s="13">
        <f t="shared" ref="CN50" si="652">-CO49</f>
        <v>-3</v>
      </c>
      <c r="CO50" s="27"/>
      <c r="CP50" s="37">
        <f t="shared" ref="CP50" si="653">Y50+AE51-(X51+AF50)</f>
        <v>3</v>
      </c>
      <c r="CQ50" s="37">
        <f t="shared" ref="CQ50" si="654">Z50+AE52-(X52+AG50)</f>
        <v>6</v>
      </c>
      <c r="CR50" s="41">
        <f t="shared" ref="CR50" si="655">AA50+AE53-(X53+AH50)</f>
        <v>6</v>
      </c>
      <c r="CT50" s="8" t="str">
        <f t="shared" si="614"/>
        <v>Suède</v>
      </c>
      <c r="CU50" s="51">
        <f>$DK50+0.01*CM50+0.0001*(BP50+BY48)+0.000001*BY48</f>
        <v>17.970200999999999</v>
      </c>
      <c r="CV50" s="51">
        <f>$DK50+0.01*CN50+0.0001*(BQ50+BY49)+0.000001*BY49</f>
        <v>17.970099999999999</v>
      </c>
      <c r="CW50" s="47"/>
      <c r="CX50" s="51">
        <f>$DK50+0.01*CP50+0.0001*(BS50+BY51)+0.000001*BY51</f>
        <v>18.030401000000001</v>
      </c>
      <c r="CY50" s="51">
        <f>$DK50+0.01*CQ50+0.0001*(BT50+BY52)+0.000001*BY52</f>
        <v>18.060401999999996</v>
      </c>
      <c r="CZ50" s="52">
        <f>$DK50+0.01*CR50+0.0001*(BU50+BY53)+0.000001*BY53</f>
        <v>18.060401999999996</v>
      </c>
      <c r="DB50" s="61" t="str">
        <f t="shared" si="615"/>
        <v>Suède</v>
      </c>
      <c r="DC50" s="3" t="str">
        <f t="shared" ref="DC50" si="656">IF(CZ50&gt;=CW53,CT50,CT53)</f>
        <v>Suède</v>
      </c>
      <c r="DD50" s="3" t="str">
        <f t="shared" ref="DD50" si="657">IF(CY50&gt;=CW52,CT50,CT52)</f>
        <v>Suède</v>
      </c>
      <c r="DE50" s="3" t="str">
        <f t="shared" ref="DE50" si="658">IF(CX50&gt;=CW51,CT50,CT51)</f>
        <v>Suède</v>
      </c>
      <c r="DJ50" s="63" t="str">
        <f t="shared" si="621"/>
        <v>Suède</v>
      </c>
      <c r="DK50" s="66">
        <f t="shared" ref="DK50" si="659">AM50</f>
        <v>18</v>
      </c>
      <c r="DL50" s="73">
        <f>COUNTIF(DC48:DG52,L15)</f>
        <v>3</v>
      </c>
      <c r="DM50" s="11" t="str">
        <f t="shared" si="623"/>
        <v>Suède</v>
      </c>
      <c r="DO50" s="11">
        <v>3</v>
      </c>
      <c r="DP50" s="69" t="str">
        <f>VLOOKUP(3,DL48:DM53,2,FALSE)</f>
        <v>Suède</v>
      </c>
      <c r="DQ50" s="11">
        <v>3</v>
      </c>
      <c r="DR50" s="11">
        <f t="shared" ref="DR50" si="660">VLOOKUP(DP50,U48:AB53,8,FALSE)</f>
        <v>3</v>
      </c>
    </row>
    <row r="51" spans="2:122" ht="15.75" customHeight="1" thickBot="1" x14ac:dyDescent="0.3">
      <c r="B51" s="3"/>
      <c r="C51" s="541"/>
      <c r="D51" s="543"/>
      <c r="E51" s="237" t="s">
        <v>23</v>
      </c>
      <c r="F51" s="538"/>
      <c r="G51" s="541"/>
      <c r="H51" s="3"/>
      <c r="I51" s="3"/>
      <c r="J51" s="3"/>
      <c r="U51" s="11" t="str">
        <f t="shared" si="595"/>
        <v>Monténégro</v>
      </c>
      <c r="V51" s="12">
        <f>IF(OR(M16="-",M16=""),0,IF(MID(M16,1,1)&gt;MID(M16,3,1),3,        IF(MID(M16,1,1)=MID(M16,3,1),1,         IF(MID(M16,1,1)&lt;MID(M16,3,1),0)        )))</f>
        <v>0</v>
      </c>
      <c r="W51" s="13">
        <f>IF(OR(N16="-",N16=""),0,IF(MID(N16,1,1)&gt;MID(N16,3,1),3,        IF(MID(N16,1,1)=MID(N16,3,1),1,         IF(MID(N16,1,1)&lt;MID(N16,3,1),0)        )))</f>
        <v>0</v>
      </c>
      <c r="X51" s="13">
        <f>IF(OR(O16="-",O16=""),0,IF(MID(O16,1,1)&gt;MID(O16,3,1),3,        IF(MID(O16,1,1)=MID(O16,3,1),1,         IF(MID(O16,1,1)&lt;MID(O16,3,1),0)        )))</f>
        <v>1</v>
      </c>
      <c r="Y51" s="27"/>
      <c r="Z51" s="13">
        <f>IF(OR(Q16="-",Q16=""),0,IF(MID(Q16,1,1)&gt;MID(Q16,3,1),3,        IF(MID(Q16,1,1)=MID(Q16,3,1),1,         IF(MID(Q16,1,1)&lt;MID(Q16,3,1),0)        )))</f>
        <v>3</v>
      </c>
      <c r="AA51" s="14">
        <f>IF(OR(R16="-",R16=""),0,IF(MID(R16,1,1)&gt;MID(R16,3,1),3,        IF(MID(R16,1,1)=MID(R16,3,1),1,         IF(MID(R16,1,1)&lt;MID(R16,3,1),0)        )))</f>
        <v>3</v>
      </c>
      <c r="AB51" s="3">
        <v>4</v>
      </c>
      <c r="AC51" s="22">
        <f>IF(OR(M16="-",M16=""),0,IF(MID(M16,3,1)&gt;MID(M16,1,1),3,        IF(MID(M16,3,1)=MID(M16,1,1),1,         IF(MID(M16,3,1)&lt;MID(M16,1,1),0)        )))</f>
        <v>3</v>
      </c>
      <c r="AD51" s="13">
        <f>IF(OR(N16="-",N16=""),0,IF(MID(N16,3,1)&gt;MID(N16,1,1),3,        IF(MID(N16,3,1)=MID(N16,1,1),1,         IF(MID(N16,3,1)&lt;MID(N16,1,1),0)        )))</f>
        <v>3</v>
      </c>
      <c r="AE51" s="13">
        <f>IF(OR(O16="-",O16=""),0,IF(MID(O16,3,1)&gt;MID(O16,1,1),3,        IF(MID(O16,3,1)=MID(O16,1,1),1,         IF(MID(O16,3,1)&lt;MID(O16,1,1),0)        )))</f>
        <v>1</v>
      </c>
      <c r="AF51" s="27"/>
      <c r="AG51" s="13">
        <f>IF(OR(Q16="-",Q16=""),0,IF(MID(Q16,3,1)&gt;MID(Q16,1,1),3,        IF(MID(Q16,3,1)=MID(Q16,1,1),1,         IF(MID(Q16,3,1)&lt;MID(Q16,1,1),0)        )))</f>
        <v>0</v>
      </c>
      <c r="AH51" s="14">
        <f>IF(OR(R16="-",R16=""),0,IF(MID(R16,3,1)&gt;MID(R16,1,1),3,        IF(MID(R16,3,1)=MID(R16,1,1),1,         IF(MID(R16,3,1)&lt;MID(R16,1,1),0)        )))</f>
        <v>0</v>
      </c>
      <c r="AI51" s="247"/>
      <c r="AJ51" s="247"/>
      <c r="AK51" s="45"/>
      <c r="AL51" s="45"/>
      <c r="AM51" s="45"/>
      <c r="AN51" s="45"/>
      <c r="AO51" s="45"/>
      <c r="AP51" s="45"/>
      <c r="AQ51" s="45"/>
      <c r="AR51" s="11" t="str">
        <f t="shared" si="596"/>
        <v>Monténégro</v>
      </c>
      <c r="AS51" s="12">
        <f t="shared" si="626"/>
        <v>-1</v>
      </c>
      <c r="AT51" s="12">
        <f t="shared" si="646"/>
        <v>-3</v>
      </c>
      <c r="AU51" s="12">
        <f t="shared" ref="AU51:AU53" si="661">BR51-BY51</f>
        <v>0</v>
      </c>
      <c r="AV51" s="80"/>
      <c r="AW51" s="12">
        <f t="shared" si="600"/>
        <v>2</v>
      </c>
      <c r="AX51" s="69">
        <f t="shared" si="601"/>
        <v>2</v>
      </c>
      <c r="AY51" s="45"/>
      <c r="AZ51" s="22">
        <f t="shared" si="627"/>
        <v>1</v>
      </c>
      <c r="BA51" s="13">
        <f t="shared" si="647"/>
        <v>3</v>
      </c>
      <c r="BB51" s="13">
        <f t="shared" ref="BB51:BB53" si="662">BY51-BR51</f>
        <v>0</v>
      </c>
      <c r="BC51" s="27"/>
      <c r="BD51" s="13">
        <f t="shared" si="605"/>
        <v>-2</v>
      </c>
      <c r="BE51" s="14">
        <f t="shared" si="606"/>
        <v>-2</v>
      </c>
      <c r="BF51" s="247"/>
      <c r="BG51" s="19" t="s">
        <v>91</v>
      </c>
      <c r="BH51" s="87">
        <f t="shared" ref="BH51" si="663">SUM(AT48:AX48,AZ49:AZ53)</f>
        <v>17</v>
      </c>
      <c r="BI51" s="32">
        <f t="shared" ref="BI51" si="664">SUM(AS49,AU49:AX49,BA48,BA50:BA53)</f>
        <v>16</v>
      </c>
      <c r="BJ51" s="32">
        <f t="shared" ref="BJ51" si="665">SUM(AS50:AT50,AV50:AX50,BB48:BB49,BB51:BB53)</f>
        <v>6</v>
      </c>
      <c r="BK51" s="32">
        <f t="shared" ref="BK51" si="666">SUM(AS51:AU51,AW51:AX51,BC48:BC50,BC52:BC53)</f>
        <v>-3</v>
      </c>
      <c r="BL51" s="32">
        <f t="shared" ref="BL51" si="667">SUM(AS52:AV52,AX52,BD48:BD51,BD53)</f>
        <v>-12</v>
      </c>
      <c r="BM51" s="33">
        <f t="shared" ref="BM51" si="668">SUM(AS53:AW53,BE48:BE52)</f>
        <v>-24</v>
      </c>
      <c r="BO51" s="11" t="str">
        <f t="shared" si="607"/>
        <v>Monténégro</v>
      </c>
      <c r="BP51" s="12">
        <f>IF(OR(M16="-",M16=""),0,_xlfn.NUMBERVALUE(MID(M16,1,1)))</f>
        <v>2</v>
      </c>
      <c r="BQ51" s="13">
        <f>IF(OR(N16="-",N16=""),0,_xlfn.NUMBERVALUE(MID(N16,1,1)))</f>
        <v>0</v>
      </c>
      <c r="BR51" s="13">
        <f>IF(OR(O16="-",O16=""),0,_xlfn.NUMBERVALUE(MID(O16,1,1)))</f>
        <v>1</v>
      </c>
      <c r="BS51" s="27"/>
      <c r="BT51" s="13">
        <f>IF(OR(Q16="-",Q16=""),0,_xlfn.NUMBERVALUE(MID(Q16,1,1)))</f>
        <v>2</v>
      </c>
      <c r="BU51" s="14">
        <f>IF(OR(R16="-",R16=""),0,_xlfn.NUMBERVALUE(MID(R16,1,1)))</f>
        <v>2</v>
      </c>
      <c r="BV51" s="45"/>
      <c r="BW51" s="31">
        <f>IF(OR(M16="-",M16=""),0,_xlfn.NUMBERVALUE(MID(M16,3,1)))</f>
        <v>3</v>
      </c>
      <c r="BX51" s="9">
        <f>IF(OR(N16="-",N16=""),0,_xlfn.NUMBERVALUE(MID(N16,3,1)))</f>
        <v>3</v>
      </c>
      <c r="BY51" s="9">
        <f>IF(OR(O16="-",O16=""),0,_xlfn.NUMBERVALUE(MID(O16,3,1)))</f>
        <v>1</v>
      </c>
      <c r="BZ51" s="27"/>
      <c r="CA51" s="9">
        <f>IF(OR(Q16="-",Q16=""),0,_xlfn.NUMBERVALUE(MID(Q16,3,1)))</f>
        <v>0</v>
      </c>
      <c r="CB51" s="10">
        <f>IF(OR(R16="-",R16=""),0,_xlfn.NUMBERVALUE(MID(R16,3,1)))</f>
        <v>0</v>
      </c>
      <c r="CD51" s="11" t="s">
        <v>92</v>
      </c>
      <c r="CE51" s="12">
        <f t="shared" ref="CE51" si="669">SUM(BW49:BW53)</f>
        <v>15</v>
      </c>
      <c r="CF51" s="13">
        <f>SUM(BX48,BX50:BX53)</f>
        <v>13</v>
      </c>
      <c r="CG51" s="13">
        <f>SUM(BY48:BY49,BY51:BY53)</f>
        <v>6</v>
      </c>
      <c r="CH51" s="13">
        <f>SUM(BZ48:BZ50,BZ52:BZ53)</f>
        <v>3</v>
      </c>
      <c r="CI51" s="13">
        <f>SUM(CA48:CA51,CA53)</f>
        <v>2</v>
      </c>
      <c r="CJ51" s="14">
        <f t="shared" ref="CJ51" si="670">SUM(CB48:CB52)</f>
        <v>1</v>
      </c>
      <c r="CL51" s="11" t="str">
        <f t="shared" si="608"/>
        <v>Monténégro</v>
      </c>
      <c r="CM51" s="12">
        <f t="shared" ref="CM51" si="671">-CP48</f>
        <v>-6</v>
      </c>
      <c r="CN51" s="13">
        <f t="shared" ref="CN51" si="672">-CP49</f>
        <v>-6</v>
      </c>
      <c r="CO51" s="37">
        <f t="shared" ref="CO51" si="673">-CP50</f>
        <v>-3</v>
      </c>
      <c r="CP51" s="27"/>
      <c r="CQ51" s="37">
        <f t="shared" ref="CQ51" si="674">Z51+AF52-(Y52+AG51)</f>
        <v>6</v>
      </c>
      <c r="CR51" s="41">
        <f t="shared" ref="CR51" si="675">AA51+AF53-(Y53+AH51)</f>
        <v>3</v>
      </c>
      <c r="CT51" s="8" t="str">
        <f t="shared" si="614"/>
        <v>Monténégro</v>
      </c>
      <c r="CU51" s="51">
        <f>$DK51+0.01*CM51+0.0001*(BP51+BZ48)+0.000001*BZ48</f>
        <v>10.940199999999999</v>
      </c>
      <c r="CV51" s="51">
        <f>$DK51+0.01*CN51+0.0001*(BQ51+BZ49)+0.000001*BZ49</f>
        <v>10.94</v>
      </c>
      <c r="CW51" s="51">
        <f>$DK51+0.01*CO51+0.0001*(BR51+BZ50)+0.000001*BZ50</f>
        <v>10.970200999999999</v>
      </c>
      <c r="CX51" s="47"/>
      <c r="CY51" s="51">
        <f>$DK51+0.01*CQ51+0.0001*(BT51+BZ52)+0.000001*BZ52</f>
        <v>11.060402000000002</v>
      </c>
      <c r="CZ51" s="52">
        <f>$DK51+0.01*CR51+0.0001*(BU51+BZ53)+0.000001*BZ53</f>
        <v>11.030199999999999</v>
      </c>
      <c r="DB51" s="61" t="str">
        <f t="shared" si="615"/>
        <v>Monténégro</v>
      </c>
      <c r="DC51" s="3" t="str">
        <f t="shared" ref="DC51" si="676">IF(CZ51&gt;=CX53,CT51,CT53)</f>
        <v>Monténégro</v>
      </c>
      <c r="DD51" s="3" t="str">
        <f t="shared" ref="DD51" si="677">IF(CY51&gt;=CX52,CT51,CT52)</f>
        <v>Monténégro</v>
      </c>
      <c r="DJ51" s="63" t="str">
        <f t="shared" si="621"/>
        <v>Monténégro</v>
      </c>
      <c r="DK51" s="66">
        <f t="shared" ref="DK51" si="678">AN50</f>
        <v>11</v>
      </c>
      <c r="DL51" s="73">
        <f>COUNTIF(DC48:DG52,L16)</f>
        <v>2</v>
      </c>
      <c r="DM51" s="11" t="str">
        <f t="shared" si="623"/>
        <v>Monténégro</v>
      </c>
      <c r="DO51" s="11">
        <v>4</v>
      </c>
      <c r="DP51" s="69" t="str">
        <f>VLOOKUP(2,DL48:DM53,2,FALSE)</f>
        <v>Monténégro</v>
      </c>
      <c r="DQ51" s="11">
        <v>4</v>
      </c>
      <c r="DR51" s="11">
        <f t="shared" ref="DR51" si="679">VLOOKUP(DP51,U48:AB53,8,FALSE)</f>
        <v>4</v>
      </c>
    </row>
    <row r="52" spans="2:122" ht="15.75" customHeight="1" thickBot="1" x14ac:dyDescent="0.3">
      <c r="B52" s="3"/>
      <c r="D52" s="3"/>
      <c r="E52" s="3"/>
      <c r="F52" s="3"/>
      <c r="G52" s="3"/>
      <c r="H52" s="3"/>
      <c r="I52" s="3"/>
      <c r="J52" s="3"/>
      <c r="U52" s="11" t="str">
        <f t="shared" si="595"/>
        <v>Moldavie</v>
      </c>
      <c r="V52" s="12">
        <f>IF(OR(M17="-",M17=""),0,IF(MID(M17,1,1)&gt;MID(M17,3,1),3,        IF(MID(M17,1,1)=MID(M17,3,1),1,         IF(MID(M17,1,1)&lt;MID(M17,3,1),0)        )))</f>
        <v>0</v>
      </c>
      <c r="W52" s="13">
        <f>IF(OR(N17="-",N17=""),0,IF(MID(N17,1,1)&gt;MID(N17,3,1),3,        IF(MID(N17,1,1)=MID(N17,3,1),1,         IF(MID(N17,1,1)&lt;MID(N17,3,1),0)        )))</f>
        <v>0</v>
      </c>
      <c r="X52" s="13">
        <f>IF(OR(O17="-",O17=""),0,IF(MID(O17,1,1)&gt;MID(O17,3,1),3,        IF(MID(O17,1,1)=MID(O17,3,1),1,         IF(MID(O17,1,1)&lt;MID(O17,3,1),0)        )))</f>
        <v>0</v>
      </c>
      <c r="Y52" s="13">
        <f>IF(OR(P17="-",P17=""),0,IF(MID(P17,1,1)&gt;MID(P17,3,1),3,        IF(MID(P17,1,1)=MID(P17,3,1),1,         IF(MID(P17,1,1)&lt;MID(P17,3,1),0)        )))</f>
        <v>0</v>
      </c>
      <c r="Z52" s="27"/>
      <c r="AA52" s="14">
        <f>IF(OR(R17="-",R17=""),0,IF(MID(R17,1,1)&gt;MID(R17,3,1),3,        IF(MID(R17,1,1)=MID(R17,3,1),1,         IF(MID(R17,1,1)&lt;MID(R17,3,1),0)        )))</f>
        <v>0</v>
      </c>
      <c r="AB52" s="3">
        <v>5</v>
      </c>
      <c r="AC52" s="22">
        <f>IF(OR(M17="-",M17=""),0,IF(MID(M17,3,1)&gt;MID(M17,1,1),3,        IF(MID(M17,3,1)=MID(M17,1,1),1,         IF(MID(M17,3,1)&lt;MID(M17,1,1),0)        )))</f>
        <v>3</v>
      </c>
      <c r="AD52" s="13">
        <f>IF(OR(N17="-",N17=""),0,IF(MID(N17,3,1)&gt;MID(N17,1,1),3,        IF(MID(N17,3,1)=MID(N17,1,1),1,         IF(MID(N17,3,1)&lt;MID(N17,1,1),0)        )))</f>
        <v>3</v>
      </c>
      <c r="AE52" s="13">
        <f>IF(OR(O17="-",O17=""),0,IF(MID(O17,3,1)&gt;MID(O17,1,1),3,        IF(MID(O17,3,1)=MID(O17,1,1),1,         IF(MID(O17,3,1)&lt;MID(O17,1,1),0)        )))</f>
        <v>3</v>
      </c>
      <c r="AF52" s="13">
        <f>IF(OR(P17="-",P17=""),0,IF(MID(P17,3,1)&gt;MID(P17,1,1),3,        IF(MID(P17,3,1)=MID(P17,1,1),1,         IF(MID(P17,3,1)&lt;MID(P17,1,1),0)        )))</f>
        <v>3</v>
      </c>
      <c r="AG52" s="27"/>
      <c r="AH52" s="14">
        <f>IF(OR(R17="-",R17=""),0,IF(MID(R17,3,1)&gt;MID(R17,1,1),3,        IF(MID(R17,3,1)=MID(R17,1,1),1,         IF(MID(R17,3,1)&lt;MID(R17,1,1),0)        )))</f>
        <v>3</v>
      </c>
      <c r="AI52" s="247"/>
      <c r="AJ52" s="247"/>
      <c r="AR52" s="11" t="str">
        <f t="shared" si="596"/>
        <v>Moldavie</v>
      </c>
      <c r="AS52" s="12">
        <f t="shared" si="626"/>
        <v>-1</v>
      </c>
      <c r="AT52" s="12">
        <f t="shared" si="646"/>
        <v>-1</v>
      </c>
      <c r="AU52" s="12">
        <f t="shared" si="661"/>
        <v>-2</v>
      </c>
      <c r="AV52" s="12">
        <f t="shared" ref="AV52:AV53" si="680">BS52-BZ52</f>
        <v>-2</v>
      </c>
      <c r="AW52" s="80"/>
      <c r="AX52" s="69">
        <f t="shared" si="601"/>
        <v>-1</v>
      </c>
      <c r="AY52" s="45"/>
      <c r="AZ52" s="22">
        <f t="shared" si="627"/>
        <v>1</v>
      </c>
      <c r="BA52" s="13">
        <f t="shared" si="647"/>
        <v>1</v>
      </c>
      <c r="BB52" s="13">
        <f t="shared" si="662"/>
        <v>2</v>
      </c>
      <c r="BC52" s="13">
        <f t="shared" ref="BC52:BC53" si="681">BZ52-BS52</f>
        <v>2</v>
      </c>
      <c r="BD52" s="27"/>
      <c r="BE52" s="14">
        <f t="shared" si="606"/>
        <v>1</v>
      </c>
      <c r="BF52" s="247"/>
      <c r="BG52" s="45"/>
      <c r="BH52" s="45"/>
      <c r="BI52" s="45"/>
      <c r="BJ52" s="45"/>
      <c r="BK52" s="45"/>
      <c r="BL52" s="45"/>
      <c r="BM52" s="45"/>
      <c r="BO52" s="11" t="str">
        <f t="shared" si="607"/>
        <v>Moldavie</v>
      </c>
      <c r="BP52" s="12">
        <f>IF(OR(M17="-",M17=""),0,_xlfn.NUMBERVALUE(MID(M17,1,1)))</f>
        <v>1</v>
      </c>
      <c r="BQ52" s="13">
        <f>IF(OR(N17="-",N17=""),0,_xlfn.NUMBERVALUE(MID(N17,1,1)))</f>
        <v>1</v>
      </c>
      <c r="BR52" s="13">
        <f>IF(OR(O17="-",O17=""),0,_xlfn.NUMBERVALUE(MID(O17,1,1)))</f>
        <v>0</v>
      </c>
      <c r="BS52" s="13">
        <f>IF(OR(P17="-",P17=""),0,_xlfn.NUMBERVALUE(MID(P17,1,1)))</f>
        <v>0</v>
      </c>
      <c r="BT52" s="27"/>
      <c r="BU52" s="14">
        <f>IF(OR(R17="-",R17=""),0,_xlfn.NUMBERVALUE(MID(R17,1,1)))</f>
        <v>0</v>
      </c>
      <c r="BV52" s="45"/>
      <c r="BW52" s="31">
        <f>IF(OR(M17="-",M17=""),0,_xlfn.NUMBERVALUE(MID(M17,3,1)))</f>
        <v>2</v>
      </c>
      <c r="BX52" s="9">
        <f>IF(OR(N17="-",N17=""),0,_xlfn.NUMBERVALUE(MID(N17,3,1)))</f>
        <v>2</v>
      </c>
      <c r="BY52" s="9">
        <f>IF(OR(O17="-",O17=""),0,_xlfn.NUMBERVALUE(MID(O17,3,1)))</f>
        <v>2</v>
      </c>
      <c r="BZ52" s="9">
        <f>IF(OR(P17="-",P17=""),0,_xlfn.NUMBERVALUE(MID(P17,3,1)))</f>
        <v>2</v>
      </c>
      <c r="CA52" s="27"/>
      <c r="CB52" s="10">
        <f>IF(OR(R17="-",R17=""),0,_xlfn.NUMBERVALUE(MID(R17,3,1)))</f>
        <v>1</v>
      </c>
      <c r="CD52" s="15" t="s">
        <v>93</v>
      </c>
      <c r="CE52" s="16">
        <f t="shared" ref="CE52" si="682">SUM(CE50,CE51)</f>
        <v>22</v>
      </c>
      <c r="CF52" s="17">
        <f t="shared" ref="CF52" si="683">SUM(CF50,CF51)</f>
        <v>21</v>
      </c>
      <c r="CG52" s="17">
        <f t="shared" ref="CG52" si="684">SUM(CG50,CG51)</f>
        <v>15</v>
      </c>
      <c r="CH52" s="17">
        <f t="shared" ref="CH52" si="685">SUM(CH50,CH51)</f>
        <v>10</v>
      </c>
      <c r="CI52" s="17">
        <f t="shared" ref="CI52" si="686">SUM(CI50,CI51)</f>
        <v>4</v>
      </c>
      <c r="CJ52" s="24">
        <f t="shared" ref="CJ52" si="687">SUM(CJ50,CJ51)</f>
        <v>2</v>
      </c>
      <c r="CL52" s="11" t="str">
        <f t="shared" si="608"/>
        <v>Moldavie</v>
      </c>
      <c r="CM52" s="12">
        <f t="shared" ref="CM52" si="688">-CQ48</f>
        <v>-6</v>
      </c>
      <c r="CN52" s="37">
        <f t="shared" ref="CN52" si="689">-CQ49</f>
        <v>-3</v>
      </c>
      <c r="CO52" s="37">
        <f t="shared" ref="CO52" si="690">-CQ50</f>
        <v>-6</v>
      </c>
      <c r="CP52" s="37">
        <f t="shared" ref="CP52" si="691">-CQ51</f>
        <v>-6</v>
      </c>
      <c r="CQ52" s="27"/>
      <c r="CR52" s="41">
        <f t="shared" ref="CR52" si="692">AA52+AG53-(Z53+AH52)</f>
        <v>-3</v>
      </c>
      <c r="CT52" s="8" t="str">
        <f t="shared" si="614"/>
        <v>Moldavie</v>
      </c>
      <c r="CU52" s="51">
        <f>$DK52+0.01*CM52+0.0001*(BP52+CA48)+0.000001*CA48</f>
        <v>1.9400999999999999</v>
      </c>
      <c r="CV52" s="51">
        <f>$DK52+0.01*CN52+0.0001*(BQ52+CA49)+0.000001*CA49</f>
        <v>1.9702009999999999</v>
      </c>
      <c r="CW52" s="51">
        <f>$DK52+0.01*CO52+0.0001*(BR52+CA50)+0.000001*CA50</f>
        <v>1.94</v>
      </c>
      <c r="CX52" s="51">
        <f>$DK52+0.01*CP52+0.0001*(BS52+CA51)+0.000001*CA51</f>
        <v>1.94</v>
      </c>
      <c r="CY52" s="47"/>
      <c r="CZ52" s="52">
        <f>$DK52+0.01*CR52+0.0001*(BU52+CA53)+0.000001*CA53</f>
        <v>1.9701009999999999</v>
      </c>
      <c r="DB52" s="19" t="str">
        <f t="shared" si="615"/>
        <v>Moldavie</v>
      </c>
      <c r="DC52" s="3" t="str">
        <f t="shared" ref="DC52" si="693">IF(CZ52&gt;=CY53,CT52,CT53)</f>
        <v>Liechtenstein</v>
      </c>
      <c r="DJ52" s="63" t="str">
        <f t="shared" si="621"/>
        <v>Moldavie</v>
      </c>
      <c r="DK52" s="66">
        <f t="shared" ref="DK52" si="694">AO50</f>
        <v>2</v>
      </c>
      <c r="DL52" s="73">
        <f>COUNTIF(DC48:DG52,L17)</f>
        <v>0</v>
      </c>
      <c r="DM52" s="11" t="str">
        <f t="shared" si="623"/>
        <v>Moldavie</v>
      </c>
      <c r="DO52" s="11">
        <v>5</v>
      </c>
      <c r="DP52" s="69" t="str">
        <f>VLOOKUP(1,DL48:DM53,2,FALSE)</f>
        <v>Liechtenstein</v>
      </c>
      <c r="DQ52" s="11">
        <v>5</v>
      </c>
      <c r="DR52" s="11">
        <f t="shared" ref="DR52" si="695">VLOOKUP(DP52,U48:AB53,8,FALSE)</f>
        <v>6</v>
      </c>
    </row>
    <row r="53" spans="2:122" ht="15.75" customHeight="1" thickBot="1" x14ac:dyDescent="0.3">
      <c r="B53" s="3"/>
      <c r="D53" s="3"/>
      <c r="E53" s="3"/>
      <c r="F53" s="3"/>
      <c r="G53" s="3"/>
      <c r="H53" s="3"/>
      <c r="I53" s="3"/>
      <c r="J53" s="3"/>
      <c r="U53" s="15" t="str">
        <f t="shared" si="595"/>
        <v>Liechtenstein</v>
      </c>
      <c r="V53" s="16">
        <f>IF(OR(M18="-",M18=""),0,IF(MID(M18,1,1)&gt;MID(M18,3,1),3,        IF(MID(M18,1,1)=MID(M18,3,1),1,         IF(MID(M18,1,1)&lt;MID(M18,3,1),0)        )))</f>
        <v>0</v>
      </c>
      <c r="W53" s="17">
        <f>IF(OR(N18="-",N18=""),0,IF(MID(N18,1,1)&gt;MID(N18,3,1),3,        IF(MID(N18,1,1)=MID(N18,3,1),1,         IF(MID(N18,1,1)&lt;MID(N18,3,1),0)        )))</f>
        <v>0</v>
      </c>
      <c r="X53" s="17">
        <f>IF(OR(O18="-",O18=""),0,IF(MID(O18,1,1)&gt;MID(O18,3,1),3,        IF(MID(O18,1,1)=MID(O18,3,1),1,         IF(MID(O18,1,1)&lt;MID(O18,3,1),0)        )))</f>
        <v>0</v>
      </c>
      <c r="Y53" s="17">
        <f>IF(OR(P18="-",P18=""),0,IF(MID(P18,1,1)&gt;MID(P18,3,1),3,        IF(MID(P18,1,1)=MID(P18,3,1),1,         IF(MID(P18,1,1)&lt;MID(P18,3,1),0)        )))</f>
        <v>1</v>
      </c>
      <c r="Z53" s="17">
        <f>IF(OR(Q18="-",Q18=""),0,IF(MID(Q18,1,1)&gt;MID(Q18,3,1),3,        IF(MID(Q18,1,1)=MID(Q18,3,1),1,         IF(MID(Q18,1,1)&lt;MID(Q18,3,1),0)        )))</f>
        <v>1</v>
      </c>
      <c r="AA53" s="28"/>
      <c r="AB53" s="3">
        <v>6</v>
      </c>
      <c r="AC53" s="23">
        <f>IF(OR(M18="-",M18=""),0,IF(MID(M18,3,1)&gt;MID(M18,1,1),3,        IF(MID(M18,3,1)=MID(M18,1,1),1,         IF(MID(M18,3,1)&lt;MID(M18,1,1),0)        )))</f>
        <v>3</v>
      </c>
      <c r="AD53" s="17">
        <f>IF(OR(N18="-",N18=""),0,IF(MID(N18,3,1)&gt;MID(N18,1,1),3,        IF(MID(N18,3,1)=MID(N18,1,1),1,         IF(MID(N18,3,1)&lt;MID(N18,1,1),0)        )))</f>
        <v>3</v>
      </c>
      <c r="AE53" s="17">
        <f>IF(OR(O18="-",O18=""),0,IF(MID(O18,3,1)&gt;MID(O18,1,1),3,        IF(MID(O18,3,1)=MID(O18,1,1),1,         IF(MID(O18,3,1)&lt;MID(O18,1,1),0)        )))</f>
        <v>3</v>
      </c>
      <c r="AF53" s="17">
        <f>IF(OR(P18="-",P18=""),0,IF(MID(P18,3,1)&gt;MID(P18,1,1),3,        IF(MID(P18,3,1)=MID(P18,1,1),1,         IF(MID(P18,3,1)&lt;MID(P18,1,1),0)        )))</f>
        <v>1</v>
      </c>
      <c r="AG53" s="17">
        <f>IF(OR(Q18="-",Q18=""),0,IF(MID(Q18,3,1)&gt;MID(Q18,1,1),3,        IF(MID(Q18,3,1)=MID(Q18,1,1),1,         IF(MID(Q18,3,1)&lt;MID(Q18,1,1),0)        )))</f>
        <v>1</v>
      </c>
      <c r="AH53" s="28"/>
      <c r="AI53" s="247"/>
      <c r="AJ53" s="247"/>
      <c r="AR53" s="15" t="str">
        <f t="shared" si="596"/>
        <v>Liechtenstein</v>
      </c>
      <c r="AS53" s="16">
        <f t="shared" si="626"/>
        <v>-5</v>
      </c>
      <c r="AT53" s="16">
        <f t="shared" si="646"/>
        <v>-7</v>
      </c>
      <c r="AU53" s="16">
        <f t="shared" si="661"/>
        <v>-2</v>
      </c>
      <c r="AV53" s="16">
        <f t="shared" si="680"/>
        <v>0</v>
      </c>
      <c r="AW53" s="16">
        <f t="shared" ref="AW53" si="696">BT53-CA53</f>
        <v>0</v>
      </c>
      <c r="AX53" s="82"/>
      <c r="AY53" s="45"/>
      <c r="AZ53" s="23">
        <f t="shared" si="627"/>
        <v>5</v>
      </c>
      <c r="BA53" s="17">
        <f t="shared" si="647"/>
        <v>7</v>
      </c>
      <c r="BB53" s="17">
        <f t="shared" si="662"/>
        <v>2</v>
      </c>
      <c r="BC53" s="17">
        <f t="shared" si="681"/>
        <v>0</v>
      </c>
      <c r="BD53" s="17">
        <f t="shared" ref="BD53" si="697">CA53-BT53</f>
        <v>0</v>
      </c>
      <c r="BE53" s="28"/>
      <c r="BF53" s="247"/>
      <c r="BG53" s="247"/>
      <c r="BI53" s="247"/>
      <c r="BK53" s="247"/>
      <c r="BM53" s="247"/>
      <c r="BO53" s="15" t="str">
        <f t="shared" si="607"/>
        <v>Liechtenstein</v>
      </c>
      <c r="BP53" s="16">
        <f>IF(OR(M18="-",M18=""),0,_xlfn.NUMBERVALUE(MID(M18,1,1)))</f>
        <v>0</v>
      </c>
      <c r="BQ53" s="17">
        <f>IF(OR(N18="-",N18=""),0,_xlfn.NUMBERVALUE(MID(N18,1,1)))</f>
        <v>0</v>
      </c>
      <c r="BR53" s="17">
        <f>IF(OR(O18="-",O18=""),0,_xlfn.NUMBERVALUE(MID(O18,1,1)))</f>
        <v>0</v>
      </c>
      <c r="BS53" s="17">
        <f>IF(OR(P18="-",P18=""),0,_xlfn.NUMBERVALUE(MID(P18,1,1)))</f>
        <v>0</v>
      </c>
      <c r="BT53" s="17">
        <f>IF(OR(Q18="-",Q18=""),0,_xlfn.NUMBERVALUE(MID(Q18,1,1)))</f>
        <v>1</v>
      </c>
      <c r="BU53" s="28"/>
      <c r="BV53" s="45"/>
      <c r="BW53" s="34">
        <f>IF(OR(M18="-",M18=""),0,_xlfn.NUMBERVALUE(MID(M18,3,1)))</f>
        <v>5</v>
      </c>
      <c r="BX53" s="32">
        <f>IF(OR(N18="-",N18=""),0,_xlfn.NUMBERVALUE(MID(N18,3,1)))</f>
        <v>7</v>
      </c>
      <c r="BY53" s="32">
        <f>IF(OR(O18="-",O18=""),0,_xlfn.NUMBERVALUE(MID(O18,3,1)))</f>
        <v>2</v>
      </c>
      <c r="BZ53" s="32">
        <f>IF(OR(P18="-",P18=""),0,_xlfn.NUMBERVALUE(MID(P18,3,1)))</f>
        <v>0</v>
      </c>
      <c r="CA53" s="32">
        <f>IF(OR(Q18="-",Q18=""),0,_xlfn.NUMBERVALUE(MID(Q18,3,1)))</f>
        <v>1</v>
      </c>
      <c r="CB53" s="28"/>
      <c r="CL53" s="15" t="str">
        <f t="shared" si="608"/>
        <v>Liechtenstein</v>
      </c>
      <c r="CM53" s="16">
        <f t="shared" ref="CM53" si="698">-CR48</f>
        <v>-6</v>
      </c>
      <c r="CN53" s="17">
        <f t="shared" ref="CN53" si="699">-CR49</f>
        <v>-6</v>
      </c>
      <c r="CO53" s="17">
        <f t="shared" ref="CO53" si="700">-CR50</f>
        <v>-6</v>
      </c>
      <c r="CP53" s="17">
        <f t="shared" ref="CP53" si="701">-CR51</f>
        <v>-3</v>
      </c>
      <c r="CQ53" s="17">
        <f t="shared" ref="CQ53" si="702">-CR52</f>
        <v>3</v>
      </c>
      <c r="CR53" s="28"/>
      <c r="CT53" s="8" t="str">
        <f t="shared" si="614"/>
        <v>Liechtenstein</v>
      </c>
      <c r="CU53" s="51">
        <f>$DK53+0.01*CM53+0.0001*(BP53+CB48)+0.000001*CB48</f>
        <v>4.9400000000000004</v>
      </c>
      <c r="CV53" s="51">
        <f>$DK53+0.01*CN53+0.0001*(BQ53+CB49)+0.000001*CB49</f>
        <v>4.9400000000000004</v>
      </c>
      <c r="CW53" s="51">
        <f>$DK53+0.01*CO53+0.0001*(BR53+CB50)+0.000001*CB50</f>
        <v>4.9400000000000004</v>
      </c>
      <c r="CX53" s="51">
        <f>$DK53+0.01*CP53+0.0001*(BS53+CB51)+0.000001*CB51</f>
        <v>4.97</v>
      </c>
      <c r="CY53" s="51">
        <f>$DK53+0.01*CQ53+0.0001*(BT53+CB52)+0.000001*CB52</f>
        <v>5.0302010000000008</v>
      </c>
      <c r="CZ53" s="55"/>
      <c r="DJ53" s="64" t="str">
        <f t="shared" si="621"/>
        <v>Liechtenstein</v>
      </c>
      <c r="DK53" s="67">
        <f t="shared" ref="DK53" si="703">AP50</f>
        <v>5</v>
      </c>
      <c r="DL53" s="74">
        <f>COUNTIF(DC48:DG52,L18)</f>
        <v>1</v>
      </c>
      <c r="DM53" s="15" t="str">
        <f t="shared" si="623"/>
        <v>Liechtenstein</v>
      </c>
      <c r="DO53" s="15">
        <v>6</v>
      </c>
      <c r="DP53" s="70" t="str">
        <f>VLOOKUP(0,DL48:DM53,2,FALSE)</f>
        <v>Moldavie</v>
      </c>
      <c r="DQ53" s="15">
        <v>6</v>
      </c>
      <c r="DR53" s="15">
        <f t="shared" ref="DR53" si="704">VLOOKUP(DP53,U48:AB53,8,FALSE)</f>
        <v>5</v>
      </c>
    </row>
    <row r="54" spans="2:122" ht="15.75" customHeight="1" thickBot="1" x14ac:dyDescent="0.3">
      <c r="B54" s="3"/>
      <c r="C54" s="525" t="s">
        <v>106</v>
      </c>
      <c r="D54" s="526"/>
      <c r="E54" s="526"/>
      <c r="F54" s="526"/>
      <c r="G54" s="527"/>
      <c r="H54" s="3"/>
      <c r="I54" s="3"/>
      <c r="J54" s="3"/>
      <c r="T54" s="45"/>
      <c r="U54" s="45"/>
      <c r="V54" s="45"/>
      <c r="W54" s="45"/>
      <c r="X54" s="45"/>
      <c r="Y54" s="45"/>
      <c r="Z54" s="45"/>
      <c r="AA54" s="45"/>
      <c r="AC54" s="30" t="str">
        <f t="shared" ref="AC54:AH54" si="705">M19</f>
        <v>Italie</v>
      </c>
      <c r="AD54" s="6" t="str">
        <f t="shared" si="705"/>
        <v>Croatie</v>
      </c>
      <c r="AE54" s="6" t="str">
        <f t="shared" si="705"/>
        <v>Norvège</v>
      </c>
      <c r="AF54" s="6" t="str">
        <f t="shared" si="705"/>
        <v>Bulgarie</v>
      </c>
      <c r="AG54" s="6" t="str">
        <f t="shared" si="705"/>
        <v>Malte</v>
      </c>
      <c r="AH54" s="7" t="str">
        <f t="shared" si="705"/>
        <v>Azerbaïdjan</v>
      </c>
      <c r="AI54" s="247"/>
      <c r="AJ54" s="45"/>
      <c r="AQ54" s="45"/>
      <c r="AR54" s="45"/>
      <c r="AS54" s="45"/>
      <c r="AT54" s="45"/>
      <c r="AU54" s="45"/>
      <c r="AV54" s="45"/>
      <c r="AW54" s="45"/>
      <c r="AX54" s="45"/>
      <c r="AY54" s="45"/>
      <c r="AZ54" s="83" t="str">
        <f t="shared" ref="AZ54:BE54" si="706">M19</f>
        <v>Italie</v>
      </c>
      <c r="BA54" s="84" t="str">
        <f t="shared" si="706"/>
        <v>Croatie</v>
      </c>
      <c r="BB54" s="84" t="str">
        <f t="shared" si="706"/>
        <v>Norvège</v>
      </c>
      <c r="BC54" s="84" t="str">
        <f t="shared" si="706"/>
        <v>Bulgarie</v>
      </c>
      <c r="BD54" s="84" t="str">
        <f t="shared" si="706"/>
        <v>Malte</v>
      </c>
      <c r="BE54" s="85" t="str">
        <f t="shared" si="706"/>
        <v>Azerbaïdjan</v>
      </c>
      <c r="BF54" s="247"/>
      <c r="BG54" s="247"/>
      <c r="BI54" s="247"/>
      <c r="BK54" s="247"/>
      <c r="BM54" s="247"/>
      <c r="BO54" s="35"/>
      <c r="BP54" s="45"/>
      <c r="BQ54" s="45"/>
      <c r="BR54" s="45"/>
      <c r="BS54" s="45"/>
      <c r="BT54" s="45"/>
      <c r="BU54" s="45"/>
      <c r="BV54" s="45"/>
      <c r="BW54" s="30" t="str">
        <f t="shared" ref="BW54:CB54" si="707">M19</f>
        <v>Italie</v>
      </c>
      <c r="BX54" s="6" t="str">
        <f t="shared" si="707"/>
        <v>Croatie</v>
      </c>
      <c r="BY54" s="6" t="str">
        <f t="shared" si="707"/>
        <v>Norvège</v>
      </c>
      <c r="BZ54" s="6" t="str">
        <f t="shared" si="707"/>
        <v>Bulgarie</v>
      </c>
      <c r="CA54" s="6" t="str">
        <f t="shared" si="707"/>
        <v>Malte</v>
      </c>
      <c r="CB54" s="7" t="str">
        <f t="shared" si="707"/>
        <v>Azerbaïdjan</v>
      </c>
      <c r="CL54" s="35"/>
      <c r="CM54" s="30" t="str">
        <f t="shared" ref="CM54:CR54" si="708">M19</f>
        <v>Italie</v>
      </c>
      <c r="CN54" s="6" t="str">
        <f t="shared" si="708"/>
        <v>Croatie</v>
      </c>
      <c r="CO54" s="6" t="str">
        <f t="shared" si="708"/>
        <v>Norvège</v>
      </c>
      <c r="CP54" s="6" t="str">
        <f t="shared" si="708"/>
        <v>Bulgarie</v>
      </c>
      <c r="CQ54" s="6" t="str">
        <f t="shared" si="708"/>
        <v>Malte</v>
      </c>
      <c r="CR54" s="7" t="str">
        <f t="shared" si="708"/>
        <v>Azerbaïdjan</v>
      </c>
      <c r="CT54" s="244"/>
      <c r="CU54" s="30" t="str">
        <f t="shared" ref="CU54:CZ54" si="709">M19</f>
        <v>Italie</v>
      </c>
      <c r="CV54" s="6" t="str">
        <f t="shared" si="709"/>
        <v>Croatie</v>
      </c>
      <c r="CW54" s="6" t="str">
        <f t="shared" si="709"/>
        <v>Norvège</v>
      </c>
      <c r="CX54" s="6" t="str">
        <f t="shared" si="709"/>
        <v>Bulgarie</v>
      </c>
      <c r="CY54" s="6" t="str">
        <f t="shared" si="709"/>
        <v>Malte</v>
      </c>
      <c r="CZ54" s="7" t="str">
        <f t="shared" si="709"/>
        <v>Azerbaïdjan</v>
      </c>
      <c r="DC54" s="244" t="str">
        <f t="shared" ref="DC54" si="710">CZ54</f>
        <v>Azerbaïdjan</v>
      </c>
      <c r="DD54" s="245" t="str">
        <f t="shared" ref="DD54" si="711">CY54</f>
        <v>Malte</v>
      </c>
      <c r="DE54" s="245" t="str">
        <f t="shared" ref="DE54" si="712">CX54</f>
        <v>Bulgarie</v>
      </c>
      <c r="DF54" s="245" t="str">
        <f t="shared" ref="DF54" si="713">CW54</f>
        <v>Norvège</v>
      </c>
      <c r="DG54" s="246" t="str">
        <f t="shared" ref="DG54" si="714">CV54</f>
        <v>Croatie</v>
      </c>
      <c r="DJ54" s="43"/>
      <c r="DK54" s="43"/>
      <c r="DM54" s="45"/>
    </row>
    <row r="55" spans="2:122" ht="15.75" customHeight="1" thickBot="1" x14ac:dyDescent="0.3">
      <c r="B55" s="4" t="s">
        <v>129</v>
      </c>
      <c r="C55" s="240" t="str">
        <f t="shared" ref="C55:C64" si="715">DT7</f>
        <v>Troisièmes</v>
      </c>
      <c r="D55" s="5" t="str">
        <f t="shared" ref="D55:D64" si="716">DU7</f>
        <v>Points</v>
      </c>
      <c r="E55" s="6" t="str">
        <f t="shared" ref="E55:E64" si="717">DV7</f>
        <v>+/-</v>
      </c>
      <c r="F55" s="6" t="str">
        <f t="shared" ref="F55:F64" si="718">DW7</f>
        <v>BP</v>
      </c>
      <c r="G55" s="7" t="str">
        <f t="shared" ref="G55:G64" si="719">DX7</f>
        <v>BP (Ext)</v>
      </c>
      <c r="H55" s="3"/>
      <c r="I55" s="3"/>
      <c r="J55" s="3"/>
      <c r="U55" s="25" t="str">
        <f t="shared" ref="U55:U60" si="720">L20</f>
        <v>Italie</v>
      </c>
      <c r="V55" s="26"/>
      <c r="W55" s="20">
        <f>IF(OR(N20="-",N20=""),0,IF(MID(N20,1,1)&gt;MID(N20,3,1),3,        IF(MID(N20,1,1)=MID(N20,3,1),1,         IF(MID(N20,1,1)&lt;MID(N20,3,1),0)        )))</f>
        <v>1</v>
      </c>
      <c r="X55" s="20">
        <f>IF(OR(O20="-",O20=""),0,IF(MID(O20,1,1)&gt;MID(O20,3,1),3,        IF(MID(O20,1,1)=MID(O20,3,1),1,         IF(MID(O20,1,1)&lt;MID(O20,3,1),0)        )))</f>
        <v>3</v>
      </c>
      <c r="Y55" s="20">
        <f>IF(OR(P20="-",P20=""),0,IF(MID(P20,1,1)&gt;MID(P20,3,1),3,        IF(MID(P20,1,1)=MID(P20,3,1),1,         IF(MID(P20,1,1)&lt;MID(P20,3,1),0)        )))</f>
        <v>3</v>
      </c>
      <c r="Z55" s="20">
        <f>IF(OR(Q20="-",Q20=""),0,IF(MID(Q20,1,1)&gt;MID(Q20,3,1),3,        IF(MID(Q20,1,1)=MID(Q20,3,1),1,         IF(MID(Q20,1,1)&lt;MID(Q20,3,1),0)        )))</f>
        <v>3</v>
      </c>
      <c r="AA55" s="21">
        <f>IF(OR(R20="-",R20=""),0,IF(MID(R20,1,1)&gt;MID(R20,3,1),3,        IF(MID(R20,1,1)=MID(R20,3,1),1,         IF(MID(R20,1,1)&lt;MID(R20,3,1),0)        )))</f>
        <v>3</v>
      </c>
      <c r="AB55" s="3">
        <v>1</v>
      </c>
      <c r="AC55" s="29"/>
      <c r="AD55" s="9">
        <f>IF(OR(N20="-",N20=""),0,IF(MID(N20,3,1)&gt;MID(N20,1,1),3,        IF(MID(N20,3,1)=MID(N20,1,1),1,         IF(MID(N20,3,1)&lt;MID(N20,1,1),0)        )))</f>
        <v>1</v>
      </c>
      <c r="AE55" s="9">
        <f>IF(OR(O20="-",O20=""),0,IF(MID(O20,3,1)&gt;MID(O20,1,1),3,        IF(MID(O20,3,1)=MID(O20,1,1),1,         IF(MID(O20,3,1)&lt;MID(O20,1,1),0)        )))</f>
        <v>0</v>
      </c>
      <c r="AF55" s="9">
        <f>IF(OR(P20="-",P20=""),0,IF(MID(P20,3,1)&gt;MID(P20,1,1),3,        IF(MID(P20,3,1)=MID(P20,1,1),1,         IF(MID(P20,3,1)&lt;MID(P20,1,1),0)        )))</f>
        <v>0</v>
      </c>
      <c r="AG55" s="9">
        <f>IF(OR(Q20="-",Q20=""),0,IF(MID(Q20,3,1)&gt;MID(Q20,1,1),3,        IF(MID(Q20,3,1)=MID(Q20,1,1),1,         IF(MID(Q20,3,1)&lt;MID(Q20,1,1),0)        )))</f>
        <v>0</v>
      </c>
      <c r="AH55" s="10">
        <f>IF(OR(R20="-",R20=""),0,IF(MID(R20,3,1)&gt;MID(R20,1,1),3,        IF(MID(R20,3,1)=MID(R20,1,1),1,         IF(MID(R20,3,1)&lt;MID(R20,1,1),0)        )))</f>
        <v>0</v>
      </c>
      <c r="AI55" s="247"/>
      <c r="AJ55" s="45"/>
      <c r="AK55" s="525" t="s">
        <v>94</v>
      </c>
      <c r="AL55" s="526"/>
      <c r="AM55" s="526"/>
      <c r="AN55" s="526"/>
      <c r="AO55" s="526"/>
      <c r="AP55" s="527"/>
      <c r="AQ55" s="45"/>
      <c r="AR55" s="25" t="str">
        <f t="shared" ref="AR55:AR60" si="721">L20</f>
        <v>Italie</v>
      </c>
      <c r="AS55" s="26"/>
      <c r="AT55" s="81">
        <f t="shared" ref="AT55" si="722">BQ55-BX55</f>
        <v>0</v>
      </c>
      <c r="AU55" s="81">
        <f t="shared" ref="AU55:AU56" si="723">BR55-BY55</f>
        <v>1</v>
      </c>
      <c r="AV55" s="81">
        <f t="shared" ref="AV55:AV57" si="724">BS55-BZ55</f>
        <v>1</v>
      </c>
      <c r="AW55" s="81">
        <f t="shared" ref="AW55:AW58" si="725">BT55-CA55</f>
        <v>1</v>
      </c>
      <c r="AX55" s="68">
        <f t="shared" ref="AX55:AX59" si="726">BU55-CB55</f>
        <v>1</v>
      </c>
      <c r="AY55" s="45"/>
      <c r="AZ55" s="86"/>
      <c r="BA55" s="20">
        <f t="shared" ref="BA55" si="727">BX55-BQ55</f>
        <v>0</v>
      </c>
      <c r="BB55" s="20">
        <f t="shared" ref="BB55:BB56" si="728">BY55-BR55</f>
        <v>-1</v>
      </c>
      <c r="BC55" s="20">
        <f t="shared" ref="BC55:BC57" si="729">BZ55-BS55</f>
        <v>-1</v>
      </c>
      <c r="BD55" s="20">
        <f t="shared" ref="BD55:BD58" si="730">CA55-BT55</f>
        <v>-1</v>
      </c>
      <c r="BE55" s="21">
        <f t="shared" ref="BE55:BE59" si="731">CB55-BU55</f>
        <v>-1</v>
      </c>
      <c r="BF55" s="247"/>
      <c r="BO55" s="25" t="str">
        <f t="shared" ref="BO55:BO60" si="732">L20</f>
        <v>Italie</v>
      </c>
      <c r="BP55" s="26"/>
      <c r="BQ55" s="20">
        <f>IF(OR(N20="-",N20=""),0,_xlfn.NUMBERVALUE(MID(N20,1,1)))</f>
        <v>1</v>
      </c>
      <c r="BR55" s="20">
        <f>IF(OR(O20="-",O20=""),0,_xlfn.NUMBERVALUE(MID(O20,1,1)))</f>
        <v>2</v>
      </c>
      <c r="BS55" s="20">
        <f>IF(OR(P20="-",P20=""),0,_xlfn.NUMBERVALUE(MID(P20,1,1)))</f>
        <v>1</v>
      </c>
      <c r="BT55" s="20">
        <f>IF(OR(Q20="-",Q20=""),0,_xlfn.NUMBERVALUE(MID(Q20,1,1)))</f>
        <v>1</v>
      </c>
      <c r="BU55" s="21">
        <f>IF(OR(R20="-",R20=""),0,_xlfn.NUMBERVALUE(MID(R20,1,1)))</f>
        <v>2</v>
      </c>
      <c r="BV55" s="45"/>
      <c r="BW55" s="29"/>
      <c r="BX55" s="9">
        <f>IF(OR(N20="-",N20=""),0,_xlfn.NUMBERVALUE(MID(N20,3,1)))</f>
        <v>1</v>
      </c>
      <c r="BY55" s="9">
        <f>IF(OR(O20="-",O20=""),0,_xlfn.NUMBERVALUE(MID(O20,3,1)))</f>
        <v>1</v>
      </c>
      <c r="BZ55" s="9">
        <f>IF(OR(P20="-",P20=""),0,_xlfn.NUMBERVALUE(MID(P20,3,1)))</f>
        <v>0</v>
      </c>
      <c r="CA55" s="9">
        <f>IF(OR(Q20="-",Q20=""),0,_xlfn.NUMBERVALUE(MID(Q20,3,1)))</f>
        <v>0</v>
      </c>
      <c r="CB55" s="10">
        <f>IF(OR(R20="-",R20=""),0,_xlfn.NUMBERVALUE(MID(R20,3,1)))</f>
        <v>1</v>
      </c>
      <c r="CE55" s="525" t="s">
        <v>90</v>
      </c>
      <c r="CF55" s="526"/>
      <c r="CG55" s="526"/>
      <c r="CH55" s="526"/>
      <c r="CI55" s="526"/>
      <c r="CJ55" s="527"/>
      <c r="CL55" s="25" t="str">
        <f t="shared" ref="CL55:CL60" si="733">L20</f>
        <v>Italie</v>
      </c>
      <c r="CM55" s="46"/>
      <c r="CN55" s="9">
        <f t="shared" ref="CN55" si="734">W55+AC56-(V56+AD55)</f>
        <v>0</v>
      </c>
      <c r="CO55" s="9">
        <f t="shared" ref="CO55" si="735">X55+AC57-(V57+AE55)</f>
        <v>6</v>
      </c>
      <c r="CP55" s="9">
        <f t="shared" ref="CP55" si="736">Y55+AC58-(V58+AF55)</f>
        <v>3</v>
      </c>
      <c r="CQ55" s="9">
        <f t="shared" ref="CQ55" si="737">Z55+AC59-(V59+AG55)</f>
        <v>6</v>
      </c>
      <c r="CR55" s="10">
        <f t="shared" ref="CR55" si="738">AC60+AA55-(V60+AH55)</f>
        <v>6</v>
      </c>
      <c r="CT55" s="8" t="str">
        <f t="shared" ref="CT55:CT60" si="739">L20</f>
        <v>Italie</v>
      </c>
      <c r="CU55" s="47"/>
      <c r="CV55" s="51">
        <f>$DK55+0.01*CN55+0.0001*(BQ55+BW56)+0.000001*BW56</f>
        <v>24.000201000000001</v>
      </c>
      <c r="CW55" s="51">
        <f>$DK55+0.01*CO55+0.0001*(BR55+BW57)+0.000001*BW57</f>
        <v>24.060401999999996</v>
      </c>
      <c r="CX55" s="51">
        <f>$DK55+0.01*CP55+0.0001*(BS55+BW58)+0.000001*BW58</f>
        <v>24.030301999999999</v>
      </c>
      <c r="CY55" s="51">
        <f>$DK55+0.01*CQ55+0.0001*(BT55+BW59)+0.000001*BW59</f>
        <v>24.060200999999999</v>
      </c>
      <c r="CZ55" s="52">
        <f>$DK55+0.01*CR55+0.0001*(BU55+BW60)+0.000001*BW60</f>
        <v>24.060502999999997</v>
      </c>
      <c r="DB55" s="60" t="str">
        <f t="shared" ref="DB55:DB59" si="740">CT55</f>
        <v>Italie</v>
      </c>
      <c r="DC55" s="3" t="str">
        <f t="shared" ref="DC55" si="741">IF(CZ55&gt;=CU60,CT55,CT60)</f>
        <v>Italie</v>
      </c>
      <c r="DD55" s="3" t="str">
        <f t="shared" ref="DD55" si="742">IF(CY55&gt;=CU59,CT55,CT59)</f>
        <v>Italie</v>
      </c>
      <c r="DE55" s="3" t="str">
        <f t="shared" ref="DE55" si="743">IF(CX55&gt;=CU58,CT55,CT58)</f>
        <v>Italie</v>
      </c>
      <c r="DF55" s="3" t="str">
        <f t="shared" ref="DF55" si="744">IF(CW55&gt;=CU57,CT55,CT57)</f>
        <v>Italie</v>
      </c>
      <c r="DG55" s="3" t="str">
        <f t="shared" ref="DG55" si="745">IF(CV55&gt;=CU56,CT55,CT56)</f>
        <v>Italie</v>
      </c>
      <c r="DJ55" s="62" t="str">
        <f t="shared" ref="DJ55:DJ60" si="746">L20</f>
        <v>Italie</v>
      </c>
      <c r="DK55" s="65">
        <f t="shared" ref="DK55" si="747">AK57</f>
        <v>24</v>
      </c>
      <c r="DL55" s="72">
        <f>COUNTIF(DC55:DG59,L20)</f>
        <v>5</v>
      </c>
      <c r="DM55" s="25" t="str">
        <f t="shared" ref="DM55:DM60" si="748">L20</f>
        <v>Italie</v>
      </c>
      <c r="DO55" s="25">
        <v>1</v>
      </c>
      <c r="DP55" s="68" t="str">
        <f>VLOOKUP(5,DL55:DM60,2,FALSE)</f>
        <v>Italie</v>
      </c>
      <c r="DQ55" s="25">
        <v>1</v>
      </c>
      <c r="DR55" s="25">
        <f t="shared" ref="DR55" si="749">VLOOKUP(DP55,U55:AB60,8,FALSE)</f>
        <v>1</v>
      </c>
    </row>
    <row r="56" spans="2:122" ht="15.75" customHeight="1" thickBot="1" x14ac:dyDescent="0.3">
      <c r="B56" s="8" t="s">
        <v>114</v>
      </c>
      <c r="C56" s="242" t="str">
        <f t="shared" si="715"/>
        <v>Turquie</v>
      </c>
      <c r="D56" s="96">
        <f t="shared" si="716"/>
        <v>16</v>
      </c>
      <c r="E56" s="9">
        <f t="shared" si="717"/>
        <v>5</v>
      </c>
      <c r="F56" s="9">
        <f t="shared" si="718"/>
        <v>12</v>
      </c>
      <c r="G56" s="10">
        <f t="shared" si="719"/>
        <v>4</v>
      </c>
      <c r="H56" s="3"/>
      <c r="I56" s="3"/>
      <c r="J56" s="3"/>
      <c r="U56" s="11" t="str">
        <f t="shared" si="720"/>
        <v>Croatie</v>
      </c>
      <c r="V56" s="12">
        <f>IF(OR(M21="-",M21=""),0,IF(MID(M21,1,1)&gt;MID(M21,3,1),3,        IF(MID(M21,1,1)=MID(M21,3,1),1,         IF(MID(M21,1,1)&lt;MID(M21,3,1),0)        )))</f>
        <v>1</v>
      </c>
      <c r="W56" s="27"/>
      <c r="X56" s="13">
        <f>IF(OR(O21="-",O21=""),0,IF(MID(O21,1,1)&gt;MID(O21,3,1),3,        IF(MID(O21,1,1)=MID(O21,3,1),1,         IF(MID(O21,1,1)&lt;MID(O21,3,1),0)        )))</f>
        <v>3</v>
      </c>
      <c r="Y56" s="13">
        <f>IF(OR(P21="-",P21=""),0,IF(MID(P21,1,1)&gt;MID(P21,3,1),3,        IF(MID(P21,1,1)=MID(P21,3,1),1,         IF(MID(P21,1,1)&lt;MID(P21,3,1),0)        )))</f>
        <v>3</v>
      </c>
      <c r="Z56" s="13">
        <f>IF(OR(Q21="-",Q21=""),0,IF(MID(Q21,1,1)&gt;MID(Q21,3,1),3,        IF(MID(Q21,1,1)=MID(Q21,3,1),1,         IF(MID(Q21,1,1)&lt;MID(Q21,3,1),0)        )))</f>
        <v>3</v>
      </c>
      <c r="AA56" s="14">
        <f>IF(OR(R21="-",R21=""),0,IF(MID(R21,1,1)&gt;MID(R21,3,1),3,        IF(MID(R21,1,1)=MID(R21,3,1),1,         IF(MID(R21,1,1)&lt;MID(R21,3,1),0)        )))</f>
        <v>3</v>
      </c>
      <c r="AB56" s="3">
        <v>2</v>
      </c>
      <c r="AC56" s="22">
        <f>IF(OR(M21="-",M21=""),0,IF(MID(M21,3,1)&gt;MID(M21,1,1),3,        IF(MID(M21,3,1)=MID(M21,1,1),1,         IF(MID(M21,3,1)&lt;MID(M21,1,1),0)        )))</f>
        <v>1</v>
      </c>
      <c r="AD56" s="27"/>
      <c r="AE56" s="13">
        <f>IF(OR(O21="-",O21=""),0,IF(MID(O21,3,1)&gt;MID(O21,1,1),3,        IF(MID(O21,3,1)=MID(O21,1,1),1,         IF(MID(O21,3,1)&lt;MID(O21,1,1),0)        )))</f>
        <v>0</v>
      </c>
      <c r="AF56" s="13">
        <f>IF(OR(P21="-",P21=""),0,IF(MID(P21,3,1)&gt;MID(P21,1,1),3,        IF(MID(P21,3,1)=MID(P21,1,1),1,         IF(MID(P21,3,1)&lt;MID(P21,1,1),0)        )))</f>
        <v>0</v>
      </c>
      <c r="AG56" s="13">
        <f>IF(OR(Q21="-",Q21=""),0,IF(MID(Q21,3,1)&gt;MID(Q21,1,1),3,        IF(MID(Q21,3,1)=MID(Q21,1,1),1,         IF(MID(Q21,3,1)&lt;MID(Q21,1,1),0)        )))</f>
        <v>0</v>
      </c>
      <c r="AH56" s="14">
        <f>IF(OR(R21="-",R21=""),0,IF(MID(R21,3,1)&gt;MID(R21,1,1),3,        IF(MID(R21,3,1)=MID(R21,1,1),1,         IF(MID(R21,3,1)&lt;MID(R21,1,1),0)        )))</f>
        <v>0</v>
      </c>
      <c r="AI56" s="36"/>
      <c r="AJ56" s="77"/>
      <c r="AK56" s="31" t="str">
        <f t="shared" ref="AK56:AP56" si="750">M19</f>
        <v>Italie</v>
      </c>
      <c r="AL56" s="9" t="str">
        <f t="shared" si="750"/>
        <v>Croatie</v>
      </c>
      <c r="AM56" s="9" t="str">
        <f t="shared" si="750"/>
        <v>Norvège</v>
      </c>
      <c r="AN56" s="9" t="str">
        <f t="shared" si="750"/>
        <v>Bulgarie</v>
      </c>
      <c r="AO56" s="9" t="str">
        <f t="shared" si="750"/>
        <v>Malte</v>
      </c>
      <c r="AP56" s="10" t="str">
        <f t="shared" si="750"/>
        <v>Azerbaïdjan</v>
      </c>
      <c r="AQ56" s="18"/>
      <c r="AR56" s="11" t="str">
        <f t="shared" si="721"/>
        <v>Croatie</v>
      </c>
      <c r="AS56" s="12">
        <f t="shared" ref="AS56:AS60" si="751">BP56-BW56</f>
        <v>0</v>
      </c>
      <c r="AT56" s="80"/>
      <c r="AU56" s="12">
        <f t="shared" si="723"/>
        <v>4</v>
      </c>
      <c r="AV56" s="12">
        <f t="shared" si="724"/>
        <v>3</v>
      </c>
      <c r="AW56" s="12">
        <f t="shared" si="725"/>
        <v>2</v>
      </c>
      <c r="AX56" s="69">
        <f t="shared" si="726"/>
        <v>6</v>
      </c>
      <c r="AY56" s="45"/>
      <c r="AZ56" s="22">
        <f t="shared" ref="AZ56:AZ60" si="752">BW56-BP56</f>
        <v>0</v>
      </c>
      <c r="BA56" s="27"/>
      <c r="BB56" s="13">
        <f t="shared" si="728"/>
        <v>-4</v>
      </c>
      <c r="BC56" s="13">
        <f t="shared" si="729"/>
        <v>-3</v>
      </c>
      <c r="BD56" s="13">
        <f t="shared" si="730"/>
        <v>-2</v>
      </c>
      <c r="BE56" s="14">
        <f t="shared" si="731"/>
        <v>-6</v>
      </c>
      <c r="BF56" s="77"/>
      <c r="BG56" s="3"/>
      <c r="BH56" s="525" t="s">
        <v>104</v>
      </c>
      <c r="BI56" s="526"/>
      <c r="BJ56" s="526"/>
      <c r="BK56" s="526"/>
      <c r="BL56" s="526"/>
      <c r="BM56" s="527"/>
      <c r="BO56" s="11" t="str">
        <f t="shared" si="732"/>
        <v>Croatie</v>
      </c>
      <c r="BP56" s="12">
        <f>IF(OR(M21="-",M21=""),0,_xlfn.NUMBERVALUE(MID(M21,1,1)))</f>
        <v>1</v>
      </c>
      <c r="BQ56" s="27"/>
      <c r="BR56" s="13">
        <f>IF(OR(O21="-",O21=""),0,_xlfn.NUMBERVALUE(MID(O21,1,1)))</f>
        <v>5</v>
      </c>
      <c r="BS56" s="13">
        <f>IF(OR(P21="-",P21=""),0,_xlfn.NUMBERVALUE(MID(P21,1,1)))</f>
        <v>3</v>
      </c>
      <c r="BT56" s="13">
        <f>IF(OR(Q21="-",Q21=""),0,_xlfn.NUMBERVALUE(MID(Q21,1,1)))</f>
        <v>2</v>
      </c>
      <c r="BU56" s="14">
        <f>IF(OR(R21="-",R21=""),0,_xlfn.NUMBERVALUE(MID(R21,1,1)))</f>
        <v>6</v>
      </c>
      <c r="BV56" s="18"/>
      <c r="BW56" s="31">
        <f>IF(OR(M21="-",M21=""),0,_xlfn.NUMBERVALUE(MID(M21,3,1)))</f>
        <v>1</v>
      </c>
      <c r="BX56" s="27"/>
      <c r="BY56" s="9">
        <f>IF(OR(O21="-",O21=""),0,_xlfn.NUMBERVALUE(MID(O21,3,1)))</f>
        <v>1</v>
      </c>
      <c r="BZ56" s="9">
        <f>IF(OR(P21="-",P21=""),0,_xlfn.NUMBERVALUE(MID(P21,3,1)))</f>
        <v>0</v>
      </c>
      <c r="CA56" s="9">
        <f>IF(OR(Q21="-",Q21=""),0,_xlfn.NUMBERVALUE(MID(Q21,3,1)))</f>
        <v>0</v>
      </c>
      <c r="CB56" s="10">
        <f>IF(OR(R21="-",R21=""),0,_xlfn.NUMBERVALUE(MID(R21,3,1)))</f>
        <v>0</v>
      </c>
      <c r="CD56" s="4" t="s">
        <v>86</v>
      </c>
      <c r="CE56" s="5" t="str">
        <f t="shared" ref="CE56:CJ56" si="753">M19</f>
        <v>Italie</v>
      </c>
      <c r="CF56" s="6" t="str">
        <f t="shared" si="753"/>
        <v>Croatie</v>
      </c>
      <c r="CG56" s="6" t="str">
        <f t="shared" si="753"/>
        <v>Norvège</v>
      </c>
      <c r="CH56" s="6" t="str">
        <f t="shared" si="753"/>
        <v>Bulgarie</v>
      </c>
      <c r="CI56" s="6" t="str">
        <f t="shared" si="753"/>
        <v>Malte</v>
      </c>
      <c r="CJ56" s="7" t="str">
        <f t="shared" si="753"/>
        <v>Azerbaïdjan</v>
      </c>
      <c r="CL56" s="11" t="str">
        <f t="shared" si="733"/>
        <v>Croatie</v>
      </c>
      <c r="CM56" s="9">
        <f t="shared" ref="CM56" si="754">-CN55</f>
        <v>0</v>
      </c>
      <c r="CN56" s="27"/>
      <c r="CO56" s="37">
        <f t="shared" ref="CO56" si="755">X56+AD57-(W57+AE56)</f>
        <v>0</v>
      </c>
      <c r="CP56" s="37">
        <f t="shared" ref="CP56" si="756">Y56+AD58-(W58+AF56)</f>
        <v>6</v>
      </c>
      <c r="CQ56" s="37">
        <f t="shared" ref="CQ56" si="757">Z56+AD59-(W59+AG56)</f>
        <v>6</v>
      </c>
      <c r="CR56" s="41">
        <f t="shared" ref="CR56" si="758">AA56+AD60-(W60+AH56)</f>
        <v>3</v>
      </c>
      <c r="CT56" s="8" t="str">
        <f t="shared" si="739"/>
        <v>Croatie</v>
      </c>
      <c r="CU56" s="51">
        <f>$DK56+0.01*CM56+0.0001*(BP56+BX55)+0.000001*BX55</f>
        <v>21.000201000000001</v>
      </c>
      <c r="CV56" s="47"/>
      <c r="CW56" s="51">
        <f>$DK56+0.01*CO56+0.0001*(BR56+BX57)+0.000001*BX57</f>
        <v>21.000499999999999</v>
      </c>
      <c r="CX56" s="51">
        <f>$DK56+0.01*CP56+0.0001*(BS56+BX58)+0.000001*BX58</f>
        <v>21.060400999999999</v>
      </c>
      <c r="CY56" s="51">
        <f>$DK56+0.01*CQ56+0.0001*(BT56+BX59)+0.000001*BX59</f>
        <v>21.060300999999999</v>
      </c>
      <c r="CZ56" s="52">
        <f>$DK56+0.01*CR56+0.0001*(BU56+BX60)+0.000001*BX60</f>
        <v>21.0306</v>
      </c>
      <c r="DB56" s="61" t="str">
        <f t="shared" si="740"/>
        <v>Croatie</v>
      </c>
      <c r="DC56" s="3" t="str">
        <f t="shared" ref="DC56" si="759">IF(CZ56&gt;=CV60,CT56,CT60)</f>
        <v>Croatie</v>
      </c>
      <c r="DD56" s="3" t="str">
        <f t="shared" ref="DD56" si="760">IF(CY56&gt;=CV59,CT56,CT59)</f>
        <v>Croatie</v>
      </c>
      <c r="DE56" s="3" t="str">
        <f t="shared" ref="DE56" si="761">IF(CX56&gt;=CV58,CT56,CT58)</f>
        <v>Croatie</v>
      </c>
      <c r="DF56" s="3" t="str">
        <f t="shared" ref="DF56" si="762">IF(CW56&gt;=CV57,CT56,CT57)</f>
        <v>Croatie</v>
      </c>
      <c r="DJ56" s="63" t="str">
        <f t="shared" si="746"/>
        <v>Croatie</v>
      </c>
      <c r="DK56" s="66">
        <f t="shared" ref="DK56" si="763">AL57</f>
        <v>21</v>
      </c>
      <c r="DL56" s="73">
        <f>COUNTIF(DC55:DG59,L21)</f>
        <v>4</v>
      </c>
      <c r="DM56" s="11" t="str">
        <f t="shared" si="748"/>
        <v>Croatie</v>
      </c>
      <c r="DO56" s="11">
        <v>2</v>
      </c>
      <c r="DP56" s="69" t="str">
        <f>VLOOKUP(4,DL55:DM60,2,FALSE)</f>
        <v>Croatie</v>
      </c>
      <c r="DQ56" s="11">
        <v>2</v>
      </c>
      <c r="DR56" s="11">
        <f t="shared" ref="DR56" si="764">VLOOKUP(DP56,U55:AB60,8,FALSE)</f>
        <v>2</v>
      </c>
    </row>
    <row r="57" spans="2:122" ht="15.75" customHeight="1" thickBot="1" x14ac:dyDescent="0.3">
      <c r="B57" s="11" t="s">
        <v>117</v>
      </c>
      <c r="C57" s="69" t="str">
        <f t="shared" si="715"/>
        <v>Bosnie</v>
      </c>
      <c r="D57" s="12">
        <f t="shared" si="716"/>
        <v>11</v>
      </c>
      <c r="E57" s="13">
        <f t="shared" si="717"/>
        <v>-1</v>
      </c>
      <c r="F57" s="13">
        <f t="shared" si="718"/>
        <v>11</v>
      </c>
      <c r="G57" s="14">
        <f t="shared" si="719"/>
        <v>4</v>
      </c>
      <c r="H57" s="3"/>
      <c r="I57" s="3"/>
      <c r="J57" s="3"/>
      <c r="U57" s="11" t="str">
        <f t="shared" si="720"/>
        <v>Norvège</v>
      </c>
      <c r="V57" s="12">
        <f>IF(OR(M22="-",M22=""),0,IF(MID(M22,1,1)&gt;MID(M22,3,1),3,        IF(MID(M22,1,1)=MID(M22,3,1),1,         IF(MID(M22,1,1)&lt;MID(M22,3,1),0)        )))</f>
        <v>0</v>
      </c>
      <c r="W57" s="13">
        <f>IF(OR(N22="-",N22=""),0,IF(MID(N22,1,1)&gt;MID(N22,3,1),3,        IF(MID(N22,1,1)=MID(N22,3,1),1,         IF(MID(N22,1,1)&lt;MID(N22,3,1),0)        )))</f>
        <v>3</v>
      </c>
      <c r="X57" s="27"/>
      <c r="Y57" s="13">
        <f>IF(OR(P22="-",P22=""),0,IF(MID(P22,1,1)&gt;MID(P22,3,1),3,        IF(MID(P22,1,1)=MID(P22,3,1),1,         IF(MID(P22,1,1)&lt;MID(P22,3,1),0)        )))</f>
        <v>3</v>
      </c>
      <c r="Z57" s="13">
        <f>IF(OR(Q22="-",Q22=""),0,IF(MID(Q22,1,1)&gt;MID(Q22,3,1),3,        IF(MID(Q22,1,1)=MID(Q22,3,1),1,         IF(MID(Q22,1,1)&lt;MID(Q22,3,1),0)        )))</f>
        <v>3</v>
      </c>
      <c r="AA57" s="14">
        <f>IF(OR(R22="-",R22=""),0,IF(MID(R22,1,1)&gt;MID(R22,3,1),3,        IF(MID(R22,1,1)=MID(R22,3,1),1,         IF(MID(R22,1,1)&lt;MID(R22,3,1),0)        )))</f>
        <v>1</v>
      </c>
      <c r="AB57" s="3">
        <v>3</v>
      </c>
      <c r="AC57" s="22">
        <f>IF(OR(M22="-",M22=""),0,IF(MID(M22,3,1)&gt;MID(M22,1,1),3,        IF(MID(M22,3,1)=MID(M22,1,1),1,         IF(MID(M22,3,1)&lt;MID(M22,1,1),0)        )))</f>
        <v>3</v>
      </c>
      <c r="AD57" s="13">
        <f>IF(OR(N22="-",N22=""),0,IF(MID(N22,3,1)&gt;MID(N22,1,1),3,        IF(MID(N22,3,1)=MID(N22,1,1),1,         IF(MID(N22,3,1)&lt;MID(N22,1,1),0)        )))</f>
        <v>0</v>
      </c>
      <c r="AE57" s="27"/>
      <c r="AF57" s="13">
        <f>IF(OR(P22="-",P22=""),0,IF(MID(P22,3,1)&gt;MID(P22,1,1),3,        IF(MID(P22,3,1)=MID(P22,1,1),1,         IF(MID(P22,3,1)&lt;MID(P22,1,1),0)        )))</f>
        <v>0</v>
      </c>
      <c r="AG57" s="13">
        <f>IF(OR(Q22="-",Q22=""),0,IF(MID(Q22,3,1)&gt;MID(Q22,1,1),3,        IF(MID(Q22,3,1)=MID(Q22,1,1),1,         IF(MID(Q22,3,1)&lt;MID(Q22,1,1),0)        )))</f>
        <v>0</v>
      </c>
      <c r="AH57" s="14">
        <f>IF(OR(R22="-",R22=""),0,IF(MID(R22,3,1)&gt;MID(R22,1,1),3,        IF(MID(R22,3,1)=MID(R22,1,1),1,         IF(MID(R22,3,1)&lt;MID(R22,1,1),0)        )))</f>
        <v>1</v>
      </c>
      <c r="AI57" s="36"/>
      <c r="AJ57" s="77"/>
      <c r="AK57" s="23">
        <f t="shared" ref="AK57" si="765">SUM(W55:AA55,AC56:AC60)</f>
        <v>24</v>
      </c>
      <c r="AL57" s="17">
        <f t="shared" ref="AL57" si="766">SUM(V56,X56:AA56,AD55,AD57:AD60)</f>
        <v>21</v>
      </c>
      <c r="AM57" s="17">
        <f t="shared" ref="AM57" si="767">SUM(V57:W57,Y57:AA57,AE55:AE56,AE58:AE60)</f>
        <v>19</v>
      </c>
      <c r="AN57" s="17">
        <f t="shared" ref="AN57" si="768">SUM(V58:X58,Z58:AA58,AF55:AF57,AF59:AF60)</f>
        <v>11</v>
      </c>
      <c r="AO57" s="17">
        <f t="shared" ref="AO57" si="769">SUM(V59:Y59,AA59,AG55:AG58,AG60)</f>
        <v>2</v>
      </c>
      <c r="AP57" s="24">
        <f t="shared" ref="AP57" si="770">SUM(V60:Z60,AH55:AH59)</f>
        <v>6</v>
      </c>
      <c r="AQ57" s="18"/>
      <c r="AR57" s="11" t="str">
        <f t="shared" si="721"/>
        <v>Norvège</v>
      </c>
      <c r="AS57" s="12">
        <f t="shared" si="751"/>
        <v>-2</v>
      </c>
      <c r="AT57" s="12">
        <f t="shared" ref="AT57:AT60" si="771">BQ57-BX57</f>
        <v>2</v>
      </c>
      <c r="AU57" s="80"/>
      <c r="AV57" s="12">
        <f t="shared" si="724"/>
        <v>1</v>
      </c>
      <c r="AW57" s="12">
        <f t="shared" si="725"/>
        <v>2</v>
      </c>
      <c r="AX57" s="69">
        <f t="shared" si="726"/>
        <v>0</v>
      </c>
      <c r="AY57" s="45"/>
      <c r="AZ57" s="22">
        <f t="shared" si="752"/>
        <v>2</v>
      </c>
      <c r="BA57" s="13">
        <f t="shared" ref="BA57:BA60" si="772">BX57-BQ57</f>
        <v>-2</v>
      </c>
      <c r="BB57" s="27"/>
      <c r="BC57" s="13">
        <f t="shared" si="729"/>
        <v>-1</v>
      </c>
      <c r="BD57" s="13">
        <f t="shared" si="730"/>
        <v>-2</v>
      </c>
      <c r="BE57" s="14">
        <f t="shared" si="731"/>
        <v>0</v>
      </c>
      <c r="BF57" s="77"/>
      <c r="BG57" s="4" t="s">
        <v>86</v>
      </c>
      <c r="BH57" s="5" t="str">
        <f t="shared" ref="BH57:BM57" si="773">M19</f>
        <v>Italie</v>
      </c>
      <c r="BI57" s="5" t="str">
        <f t="shared" si="773"/>
        <v>Croatie</v>
      </c>
      <c r="BJ57" s="5" t="str">
        <f t="shared" si="773"/>
        <v>Norvège</v>
      </c>
      <c r="BK57" s="5" t="str">
        <f t="shared" si="773"/>
        <v>Bulgarie</v>
      </c>
      <c r="BL57" s="5" t="str">
        <f t="shared" si="773"/>
        <v>Malte</v>
      </c>
      <c r="BM57" s="76" t="str">
        <f t="shared" si="773"/>
        <v>Azerbaïdjan</v>
      </c>
      <c r="BO57" s="11" t="str">
        <f t="shared" si="732"/>
        <v>Norvège</v>
      </c>
      <c r="BP57" s="12">
        <f>IF(OR(M22="-",M22=""),0,_xlfn.NUMBERVALUE(MID(M22,1,1)))</f>
        <v>0</v>
      </c>
      <c r="BQ57" s="13">
        <f>IF(OR(N22="-",N22=""),0,_xlfn.NUMBERVALUE(MID(N22,1,1)))</f>
        <v>2</v>
      </c>
      <c r="BR57" s="27"/>
      <c r="BS57" s="13">
        <f>IF(OR(P22="-",P22=""),0,_xlfn.NUMBERVALUE(MID(P22,1,1)))</f>
        <v>2</v>
      </c>
      <c r="BT57" s="13">
        <f>IF(OR(Q22="-",Q22=""),0,_xlfn.NUMBERVALUE(MID(Q22,1,1)))</f>
        <v>2</v>
      </c>
      <c r="BU57" s="14">
        <f>IF(OR(R22="-",R22=""),0,_xlfn.NUMBERVALUE(MID(R22,1,1)))</f>
        <v>0</v>
      </c>
      <c r="BV57" s="18"/>
      <c r="BW57" s="31">
        <f>IF(OR(M22="-",M22=""),0,_xlfn.NUMBERVALUE(MID(M22,3,1)))</f>
        <v>2</v>
      </c>
      <c r="BX57" s="9">
        <f>IF(OR(N22="-",N22=""),0,_xlfn.NUMBERVALUE(MID(N22,3,1)))</f>
        <v>0</v>
      </c>
      <c r="BY57" s="27"/>
      <c r="BZ57" s="9">
        <f>IF(OR(P22="-",P22=""),0,_xlfn.NUMBERVALUE(MID(P22,3,1)))</f>
        <v>1</v>
      </c>
      <c r="CA57" s="9">
        <f>IF(OR(Q22="-",Q22=""),0,_xlfn.NUMBERVALUE(MID(Q22,3,1)))</f>
        <v>0</v>
      </c>
      <c r="CB57" s="10">
        <f>IF(OR(R22="-",R22=""),0,_xlfn.NUMBERVALUE(MID(R22,3,1)))</f>
        <v>0</v>
      </c>
      <c r="CD57" s="8" t="s">
        <v>91</v>
      </c>
      <c r="CE57" s="39">
        <f t="shared" ref="CE57" si="774">SUM(BQ55:BU55)</f>
        <v>7</v>
      </c>
      <c r="CF57" s="9">
        <f>SUM(BP56,BR56:BU56)</f>
        <v>17</v>
      </c>
      <c r="CG57" s="9">
        <f>SUM(BP57:BQ57,BS57:BU57)</f>
        <v>6</v>
      </c>
      <c r="CH57" s="9">
        <f>SUM(BP58:BR58,BT58:BU58)</f>
        <v>5</v>
      </c>
      <c r="CI57" s="9">
        <f>SUM(BP59:BS59,BU59)</f>
        <v>2</v>
      </c>
      <c r="CJ57" s="10">
        <f t="shared" ref="CJ57" si="775">SUM(BP60:BT60)</f>
        <v>4</v>
      </c>
      <c r="CL57" s="11" t="str">
        <f t="shared" si="733"/>
        <v>Norvège</v>
      </c>
      <c r="CM57" s="12">
        <f t="shared" ref="CM57" si="776">-CO55</f>
        <v>-6</v>
      </c>
      <c r="CN57" s="13">
        <f t="shared" ref="CN57" si="777">-CO56</f>
        <v>0</v>
      </c>
      <c r="CO57" s="27"/>
      <c r="CP57" s="37">
        <f t="shared" ref="CP57" si="778">Y57+AE58-(X58+AF57)</f>
        <v>6</v>
      </c>
      <c r="CQ57" s="37">
        <f t="shared" ref="CQ57" si="779">Z57+AE59-(X59+AG57)</f>
        <v>6</v>
      </c>
      <c r="CR57" s="41">
        <f t="shared" ref="CR57" si="780">AA57+AE60-(X60+AH57)</f>
        <v>3</v>
      </c>
      <c r="CT57" s="8" t="str">
        <f t="shared" si="739"/>
        <v>Norvège</v>
      </c>
      <c r="CU57" s="51">
        <f>$DK57+0.01*CM57+0.0001*(BP57+BY55)+0.000001*BY55</f>
        <v>18.940101000000002</v>
      </c>
      <c r="CV57" s="51">
        <f>$DK57+0.01*CN57+0.0001*(BQ57+BY56)+0.000001*BY56</f>
        <v>19.000301</v>
      </c>
      <c r="CW57" s="47"/>
      <c r="CX57" s="51">
        <f>$DK57+0.01*CP57+0.0001*(BS57+BY58)+0.000001*BY58</f>
        <v>19.060300999999999</v>
      </c>
      <c r="CY57" s="51">
        <f>$DK57+0.01*CQ57+0.0001*(BT57+BY59)+0.000001*BY59</f>
        <v>19.060502999999997</v>
      </c>
      <c r="CZ57" s="52">
        <f>$DK57+0.01*CR57+0.0001*(BU57+BY60)+0.000001*BY60</f>
        <v>19.030101000000002</v>
      </c>
      <c r="DB57" s="61" t="str">
        <f t="shared" si="740"/>
        <v>Norvège</v>
      </c>
      <c r="DC57" s="3" t="str">
        <f t="shared" ref="DC57" si="781">IF(CZ57&gt;=CW60,CT57,CT60)</f>
        <v>Norvège</v>
      </c>
      <c r="DD57" s="3" t="str">
        <f t="shared" ref="DD57" si="782">IF(CY57&gt;=CW59,CT57,CT59)</f>
        <v>Norvège</v>
      </c>
      <c r="DE57" s="3" t="str">
        <f t="shared" ref="DE57" si="783">IF(CX57&gt;=CW58,CT57,CT58)</f>
        <v>Norvège</v>
      </c>
      <c r="DJ57" s="63" t="str">
        <f t="shared" si="746"/>
        <v>Norvège</v>
      </c>
      <c r="DK57" s="66">
        <f t="shared" ref="DK57" si="784">AM57</f>
        <v>19</v>
      </c>
      <c r="DL57" s="73">
        <f>COUNTIF(DC55:DG59,L22)</f>
        <v>3</v>
      </c>
      <c r="DM57" s="11" t="str">
        <f t="shared" si="748"/>
        <v>Norvège</v>
      </c>
      <c r="DO57" s="11">
        <v>3</v>
      </c>
      <c r="DP57" s="69" t="str">
        <f>VLOOKUP(3,DL55:DM60,2,FALSE)</f>
        <v>Norvège</v>
      </c>
      <c r="DQ57" s="11">
        <v>3</v>
      </c>
      <c r="DR57" s="11">
        <f t="shared" ref="DR57" si="785">VLOOKUP(DP57,U55:AB60,8,FALSE)</f>
        <v>3</v>
      </c>
    </row>
    <row r="58" spans="2:122" ht="15.75" customHeight="1" thickBot="1" x14ac:dyDescent="0.3">
      <c r="B58" s="11" t="s">
        <v>118</v>
      </c>
      <c r="C58" s="69" t="str">
        <f t="shared" si="715"/>
        <v>Ukraine</v>
      </c>
      <c r="D58" s="12">
        <f t="shared" si="716"/>
        <v>13</v>
      </c>
      <c r="E58" s="13">
        <f t="shared" si="717"/>
        <v>7</v>
      </c>
      <c r="F58" s="13">
        <f t="shared" si="718"/>
        <v>11</v>
      </c>
      <c r="G58" s="14">
        <f t="shared" si="719"/>
        <v>5</v>
      </c>
      <c r="H58" s="3"/>
      <c r="I58" s="4" t="s">
        <v>100</v>
      </c>
      <c r="J58" s="3"/>
      <c r="U58" s="11" t="str">
        <f t="shared" si="720"/>
        <v>Bulgarie</v>
      </c>
      <c r="V58" s="12">
        <f>IF(OR(M23="-",M23=""),0,IF(MID(M23,1,1)&gt;MID(M23,3,1),3,        IF(MID(M23,1,1)=MID(M23,3,1),1,         IF(MID(M23,1,1)&lt;MID(M23,3,1),0)        )))</f>
        <v>1</v>
      </c>
      <c r="W58" s="13">
        <f>IF(OR(N23="-",N23=""),0,IF(MID(N23,1,1)&gt;MID(N23,3,1),3,        IF(MID(N23,1,1)=MID(N23,3,1),1,         IF(MID(N23,1,1)&lt;MID(N23,3,1),0)        )))</f>
        <v>0</v>
      </c>
      <c r="X58" s="13">
        <f>IF(OR(O23="-",O23=""),0,IF(MID(O23,1,1)&gt;MID(O23,3,1),3,        IF(MID(O23,1,1)=MID(O23,3,1),1,         IF(MID(O23,1,1)&lt;MID(O23,3,1),0)        )))</f>
        <v>0</v>
      </c>
      <c r="Y58" s="27"/>
      <c r="Z58" s="13">
        <f>IF(OR(Q23="-",Q23=""),0,IF(MID(Q23,1,1)&gt;MID(Q23,3,1),3,        IF(MID(Q23,1,1)=MID(Q23,3,1),1,         IF(MID(Q23,1,1)&lt;MID(Q23,3,1),0)        )))</f>
        <v>1</v>
      </c>
      <c r="AA58" s="14">
        <f>IF(OR(R23="-",R23=""),0,IF(MID(R23,1,1)&gt;MID(R23,3,1),3,        IF(MID(R23,1,1)=MID(R23,3,1),1,         IF(MID(R23,1,1)&lt;MID(R23,3,1),0)        )))</f>
        <v>3</v>
      </c>
      <c r="AB58" s="3">
        <v>4</v>
      </c>
      <c r="AC58" s="22">
        <f>IF(OR(M23="-",M23=""),0,IF(MID(M23,3,1)&gt;MID(M23,1,1),3,        IF(MID(M23,3,1)=MID(M23,1,1),1,         IF(MID(M23,3,1)&lt;MID(M23,1,1),0)        )))</f>
        <v>1</v>
      </c>
      <c r="AD58" s="13">
        <f>IF(OR(N23="-",N23=""),0,IF(MID(N23,3,1)&gt;MID(N23,1,1),3,        IF(MID(N23,3,1)=MID(N23,1,1),1,         IF(MID(N23,3,1)&lt;MID(N23,1,1),0)        )))</f>
        <v>3</v>
      </c>
      <c r="AE58" s="13">
        <f>IF(OR(O23="-",O23=""),0,IF(MID(O23,3,1)&gt;MID(O23,1,1),3,        IF(MID(O23,3,1)=MID(O23,1,1),1,         IF(MID(O23,3,1)&lt;MID(O23,1,1),0)        )))</f>
        <v>3</v>
      </c>
      <c r="AF58" s="27"/>
      <c r="AG58" s="13">
        <f>IF(OR(Q23="-",Q23=""),0,IF(MID(Q23,3,1)&gt;MID(Q23,1,1),3,        IF(MID(Q23,3,1)=MID(Q23,1,1),1,         IF(MID(Q23,3,1)&lt;MID(Q23,1,1),0)        )))</f>
        <v>1</v>
      </c>
      <c r="AH58" s="14">
        <f>IF(OR(R23="-",R23=""),0,IF(MID(R23,3,1)&gt;MID(R23,1,1),3,        IF(MID(R23,3,1)=MID(R23,1,1),1,         IF(MID(R23,3,1)&lt;MID(R23,1,1),0)        )))</f>
        <v>0</v>
      </c>
      <c r="AI58" s="77"/>
      <c r="AJ58" s="77"/>
      <c r="AK58" s="45"/>
      <c r="AL58" s="45"/>
      <c r="AM58" s="45"/>
      <c r="AN58" s="45"/>
      <c r="AO58" s="45"/>
      <c r="AP58" s="45"/>
      <c r="AQ58" s="18"/>
      <c r="AR58" s="11" t="str">
        <f t="shared" si="721"/>
        <v>Bulgarie</v>
      </c>
      <c r="AS58" s="12">
        <f t="shared" si="751"/>
        <v>0</v>
      </c>
      <c r="AT58" s="12">
        <f t="shared" si="771"/>
        <v>-1</v>
      </c>
      <c r="AU58" s="12">
        <f t="shared" ref="AU58:AU60" si="786">BR58-BY58</f>
        <v>-1</v>
      </c>
      <c r="AV58" s="80"/>
      <c r="AW58" s="12">
        <f t="shared" si="725"/>
        <v>0</v>
      </c>
      <c r="AX58" s="69">
        <f t="shared" si="726"/>
        <v>2</v>
      </c>
      <c r="AY58" s="45"/>
      <c r="AZ58" s="22">
        <f t="shared" si="752"/>
        <v>0</v>
      </c>
      <c r="BA58" s="13">
        <f t="shared" si="772"/>
        <v>1</v>
      </c>
      <c r="BB58" s="13">
        <f t="shared" ref="BB58:BB60" si="787">BY58-BR58</f>
        <v>1</v>
      </c>
      <c r="BC58" s="27"/>
      <c r="BD58" s="13">
        <f t="shared" si="730"/>
        <v>0</v>
      </c>
      <c r="BE58" s="14">
        <f t="shared" si="731"/>
        <v>-2</v>
      </c>
      <c r="BF58" s="77"/>
      <c r="BG58" s="19" t="s">
        <v>91</v>
      </c>
      <c r="BH58" s="87">
        <f t="shared" ref="BH58" si="788">SUM(AT55:AX55,AZ56:AZ60)</f>
        <v>9</v>
      </c>
      <c r="BI58" s="32">
        <f t="shared" ref="BI58" si="789">SUM(AS56,AU56:AX56,BA55,BA57:BA60)</f>
        <v>15</v>
      </c>
      <c r="BJ58" s="32">
        <f t="shared" ref="BJ58" si="790">SUM(AS57:AT57,AV57:AX57,BB55:BB56,BB58:BB60)</f>
        <v>3</v>
      </c>
      <c r="BK58" s="32">
        <f t="shared" ref="BK58" si="791">SUM(AS58:AU58,AW58:AX58,BC55:BC57,BC59:BC60)</f>
        <v>-3</v>
      </c>
      <c r="BL58" s="32">
        <f t="shared" ref="BL58" si="792">SUM(AS59:AV59,AX59,BD55:BD58,BD60)</f>
        <v>-13</v>
      </c>
      <c r="BM58" s="33">
        <f t="shared" ref="BM58" si="793">SUM(AS60:AW60,BE55:BE59)</f>
        <v>-11</v>
      </c>
      <c r="BO58" s="11" t="str">
        <f t="shared" si="732"/>
        <v>Bulgarie</v>
      </c>
      <c r="BP58" s="12">
        <f>IF(OR(M23="-",M23=""),0,_xlfn.NUMBERVALUE(MID(M23,1,1)))</f>
        <v>2</v>
      </c>
      <c r="BQ58" s="13">
        <f>IF(OR(N23="-",N23=""),0,_xlfn.NUMBERVALUE(MID(N23,1,1)))</f>
        <v>0</v>
      </c>
      <c r="BR58" s="13">
        <f>IF(OR(O23="-",O23=""),0,_xlfn.NUMBERVALUE(MID(O23,1,1)))</f>
        <v>0</v>
      </c>
      <c r="BS58" s="27"/>
      <c r="BT58" s="13">
        <f>IF(OR(Q23="-",Q23=""),0,_xlfn.NUMBERVALUE(MID(Q23,1,1)))</f>
        <v>1</v>
      </c>
      <c r="BU58" s="14">
        <f>IF(OR(R23="-",R23=""),0,_xlfn.NUMBERVALUE(MID(R23,1,1)))</f>
        <v>2</v>
      </c>
      <c r="BV58" s="18"/>
      <c r="BW58" s="31">
        <f>IF(OR(M23="-",M23=""),0,_xlfn.NUMBERVALUE(MID(M23,3,1)))</f>
        <v>2</v>
      </c>
      <c r="BX58" s="9">
        <f>IF(OR(N23="-",N23=""),0,_xlfn.NUMBERVALUE(MID(N23,3,1)))</f>
        <v>1</v>
      </c>
      <c r="BY58" s="9">
        <f>IF(OR(O23="-",O23=""),0,_xlfn.NUMBERVALUE(MID(O23,3,1)))</f>
        <v>1</v>
      </c>
      <c r="BZ58" s="27"/>
      <c r="CA58" s="9">
        <f>IF(OR(Q23="-",Q23=""),0,_xlfn.NUMBERVALUE(MID(Q23,3,1)))</f>
        <v>1</v>
      </c>
      <c r="CB58" s="10">
        <f>IF(OR(R23="-",R23=""),0,_xlfn.NUMBERVALUE(MID(R23,3,1)))</f>
        <v>0</v>
      </c>
      <c r="CD58" s="11" t="s">
        <v>92</v>
      </c>
      <c r="CE58" s="12">
        <f t="shared" ref="CE58" si="794">SUM(BW56:BW60)</f>
        <v>9</v>
      </c>
      <c r="CF58" s="13">
        <f>SUM(BX55,BX57:BX60)</f>
        <v>3</v>
      </c>
      <c r="CG58" s="13">
        <f>SUM(BY55:BY56,BY58:BY60)</f>
        <v>7</v>
      </c>
      <c r="CH58" s="13">
        <f>SUM(BZ55:BZ57,BZ59:BZ60)</f>
        <v>4</v>
      </c>
      <c r="CI58" s="13">
        <f>SUM(CA55:CA58,CA60)</f>
        <v>1</v>
      </c>
      <c r="CJ58" s="14">
        <f t="shared" ref="CJ58" si="795">SUM(CB55:CB59)</f>
        <v>3</v>
      </c>
      <c r="CL58" s="11" t="str">
        <f t="shared" si="733"/>
        <v>Bulgarie</v>
      </c>
      <c r="CM58" s="12">
        <f t="shared" ref="CM58" si="796">-CP55</f>
        <v>-3</v>
      </c>
      <c r="CN58" s="13">
        <f t="shared" ref="CN58" si="797">-CP56</f>
        <v>-6</v>
      </c>
      <c r="CO58" s="37">
        <f t="shared" ref="CO58" si="798">-CP57</f>
        <v>-6</v>
      </c>
      <c r="CP58" s="27"/>
      <c r="CQ58" s="37">
        <f t="shared" ref="CQ58" si="799">Z58+AF59-(Y59+AG58)</f>
        <v>3</v>
      </c>
      <c r="CR58" s="41">
        <f t="shared" ref="CR58" si="800">AA58+AF60-(Y60+AH58)</f>
        <v>6</v>
      </c>
      <c r="CT58" s="8" t="str">
        <f t="shared" si="739"/>
        <v>Bulgarie</v>
      </c>
      <c r="CU58" s="51">
        <f>$DK58+0.01*CM58+0.0001*(BP58+BZ55)+0.000001*BZ55</f>
        <v>10.9702</v>
      </c>
      <c r="CV58" s="51">
        <f>$DK58+0.01*CN58+0.0001*(BQ58+BZ56)+0.000001*BZ56</f>
        <v>10.94</v>
      </c>
      <c r="CW58" s="51">
        <f>$DK58+0.01*CO58+0.0001*(BR58+BZ57)+0.000001*BZ57</f>
        <v>10.940100999999999</v>
      </c>
      <c r="CX58" s="47"/>
      <c r="CY58" s="51">
        <f>$DK58+0.01*CQ58+0.0001*(BT58+BZ59)+0.000001*BZ59</f>
        <v>11.030200999999998</v>
      </c>
      <c r="CZ58" s="52">
        <f>$DK58+0.01*CR58+0.0001*(BU58+BZ60)+0.000001*BZ60</f>
        <v>11.060402000000002</v>
      </c>
      <c r="DB58" s="61" t="str">
        <f t="shared" si="740"/>
        <v>Bulgarie</v>
      </c>
      <c r="DC58" s="3" t="str">
        <f t="shared" ref="DC58" si="801">IF(CZ58&gt;=CX60,CT58,CT60)</f>
        <v>Bulgarie</v>
      </c>
      <c r="DD58" s="3" t="str">
        <f t="shared" ref="DD58" si="802">IF(CY58&gt;=CX59,CT58,CT59)</f>
        <v>Bulgarie</v>
      </c>
      <c r="DJ58" s="63" t="str">
        <f t="shared" si="746"/>
        <v>Bulgarie</v>
      </c>
      <c r="DK58" s="66">
        <f t="shared" ref="DK58" si="803">AN57</f>
        <v>11</v>
      </c>
      <c r="DL58" s="73">
        <f>COUNTIF(DC55:DG59,L23)</f>
        <v>2</v>
      </c>
      <c r="DM58" s="11" t="str">
        <f t="shared" si="748"/>
        <v>Bulgarie</v>
      </c>
      <c r="DO58" s="11">
        <v>4</v>
      </c>
      <c r="DP58" s="69" t="str">
        <f>VLOOKUP(2,DL55:DM60,2,FALSE)</f>
        <v>Bulgarie</v>
      </c>
      <c r="DQ58" s="11">
        <v>4</v>
      </c>
      <c r="DR58" s="11">
        <f t="shared" ref="DR58" si="804">VLOOKUP(DP58,U55:AB60,8,FALSE)</f>
        <v>4</v>
      </c>
    </row>
    <row r="59" spans="2:122" ht="15.75" customHeight="1" thickBot="1" x14ac:dyDescent="0.3">
      <c r="B59" s="11" t="s">
        <v>119</v>
      </c>
      <c r="C59" s="69" t="str">
        <f t="shared" si="715"/>
        <v>Irlande</v>
      </c>
      <c r="D59" s="12">
        <f t="shared" si="716"/>
        <v>12</v>
      </c>
      <c r="E59" s="13">
        <f t="shared" si="717"/>
        <v>1</v>
      </c>
      <c r="F59" s="13">
        <f t="shared" si="718"/>
        <v>8</v>
      </c>
      <c r="G59" s="14">
        <f t="shared" si="719"/>
        <v>4</v>
      </c>
      <c r="H59" s="3"/>
      <c r="I59" s="243" t="str">
        <f>VLOOKUP(MAX($DZ$8:$DZ$16),$DZ$8:$EA$16,2,FALSE)</f>
        <v>Turquie</v>
      </c>
      <c r="J59" s="3"/>
      <c r="U59" s="11" t="str">
        <f t="shared" si="720"/>
        <v>Malte</v>
      </c>
      <c r="V59" s="12">
        <f>IF(OR(M24="-",M24=""),0,IF(MID(M24,1,1)&gt;MID(M24,3,1),3,        IF(MID(M24,1,1)=MID(M24,3,1),1,         IF(MID(M24,1,1)&lt;MID(M24,3,1),0)        )))</f>
        <v>0</v>
      </c>
      <c r="W59" s="13">
        <f>IF(OR(N24="-",N24=""),0,IF(MID(N24,1,1)&gt;MID(N24,3,1),3,        IF(MID(N24,1,1)=MID(N24,3,1),1,         IF(MID(N24,1,1)&lt;MID(N24,3,1),0)        )))</f>
        <v>0</v>
      </c>
      <c r="X59" s="13">
        <f>IF(OR(O24="-",O24=""),0,IF(MID(O24,1,1)&gt;MID(O24,3,1),3,        IF(MID(O24,1,1)=MID(O24,3,1),1,         IF(MID(O24,1,1)&lt;MID(O24,3,1),0)        )))</f>
        <v>0</v>
      </c>
      <c r="Y59" s="13">
        <f>IF(OR(P24="-",P24=""),0,IF(MID(P24,1,1)&gt;MID(P24,3,1),3,        IF(MID(P24,1,1)=MID(P24,3,1),1,         IF(MID(P24,1,1)&lt;MID(P24,3,1),0)        )))</f>
        <v>0</v>
      </c>
      <c r="Z59" s="27"/>
      <c r="AA59" s="14">
        <f>IF(OR(R24="-",R24=""),0,IF(MID(R24,1,1)&gt;MID(R24,3,1),3,        IF(MID(R24,1,1)=MID(R24,3,1),1,         IF(MID(R24,1,1)&lt;MID(R24,3,1),0)        )))</f>
        <v>1</v>
      </c>
      <c r="AB59" s="3">
        <v>5</v>
      </c>
      <c r="AC59" s="22">
        <f>IF(OR(M24="-",M24=""),0,IF(MID(M24,3,1)&gt;MID(M24,1,1),3,        IF(MID(M24,3,1)=MID(M24,1,1),1,         IF(MID(M24,3,1)&lt;MID(M24,1,1),0)        )))</f>
        <v>3</v>
      </c>
      <c r="AD59" s="13">
        <f>IF(OR(N24="-",N24=""),0,IF(MID(N24,3,1)&gt;MID(N24,1,1),3,        IF(MID(N24,3,1)=MID(N24,1,1),1,         IF(MID(N24,3,1)&lt;MID(N24,1,1),0)        )))</f>
        <v>3</v>
      </c>
      <c r="AE59" s="13">
        <f>IF(OR(O24="-",O24=""),0,IF(MID(O24,3,1)&gt;MID(O24,1,1),3,        IF(MID(O24,3,1)=MID(O24,1,1),1,         IF(MID(O24,3,1)&lt;MID(O24,1,1),0)        )))</f>
        <v>3</v>
      </c>
      <c r="AF59" s="13">
        <f>IF(OR(P24="-",P24=""),0,IF(MID(P24,3,1)&gt;MID(P24,1,1),3,        IF(MID(P24,3,1)=MID(P24,1,1),1,         IF(MID(P24,3,1)&lt;MID(P24,1,1),0)        )))</f>
        <v>3</v>
      </c>
      <c r="AG59" s="27"/>
      <c r="AH59" s="14">
        <f>IF(OR(R24="-",R24=""),0,IF(MID(R24,3,1)&gt;MID(R24,1,1),3,        IF(MID(R24,3,1)=MID(R24,1,1),1,         IF(MID(R24,3,1)&lt;MID(R24,1,1),0)        )))</f>
        <v>1</v>
      </c>
      <c r="AI59" s="36"/>
      <c r="AJ59" s="77"/>
      <c r="AR59" s="11" t="str">
        <f t="shared" si="721"/>
        <v>Malte</v>
      </c>
      <c r="AS59" s="12">
        <f t="shared" si="751"/>
        <v>-1</v>
      </c>
      <c r="AT59" s="12">
        <f t="shared" si="771"/>
        <v>-1</v>
      </c>
      <c r="AU59" s="12">
        <f t="shared" si="786"/>
        <v>-3</v>
      </c>
      <c r="AV59" s="12">
        <f t="shared" ref="AV59:AV60" si="805">BS59-BZ59</f>
        <v>-1</v>
      </c>
      <c r="AW59" s="80"/>
      <c r="AX59" s="69">
        <f t="shared" si="726"/>
        <v>0</v>
      </c>
      <c r="AY59" s="45"/>
      <c r="AZ59" s="22">
        <f t="shared" si="752"/>
        <v>1</v>
      </c>
      <c r="BA59" s="13">
        <f t="shared" si="772"/>
        <v>1</v>
      </c>
      <c r="BB59" s="13">
        <f t="shared" si="787"/>
        <v>3</v>
      </c>
      <c r="BC59" s="13">
        <f t="shared" ref="BC59:BC60" si="806">BZ59-BS59</f>
        <v>1</v>
      </c>
      <c r="BD59" s="27"/>
      <c r="BE59" s="14">
        <f t="shared" si="731"/>
        <v>0</v>
      </c>
      <c r="BF59" s="77"/>
      <c r="BG59" s="45"/>
      <c r="BH59" s="45"/>
      <c r="BI59" s="45"/>
      <c r="BJ59" s="45"/>
      <c r="BK59" s="45"/>
      <c r="BL59" s="45"/>
      <c r="BM59" s="45"/>
      <c r="BO59" s="11" t="str">
        <f t="shared" si="732"/>
        <v>Malte</v>
      </c>
      <c r="BP59" s="12">
        <f>IF(OR(M24="-",M24=""),0,_xlfn.NUMBERVALUE(MID(M24,1,1)))</f>
        <v>0</v>
      </c>
      <c r="BQ59" s="13">
        <f>IF(OR(N24="-",N24=""),0,_xlfn.NUMBERVALUE(MID(N24,1,1)))</f>
        <v>0</v>
      </c>
      <c r="BR59" s="13">
        <f>IF(OR(O24="-",O24=""),0,_xlfn.NUMBERVALUE(MID(O24,1,1)))</f>
        <v>0</v>
      </c>
      <c r="BS59" s="13">
        <f>IF(OR(P24="-",P24=""),0,_xlfn.NUMBERVALUE(MID(P24,1,1)))</f>
        <v>0</v>
      </c>
      <c r="BT59" s="27"/>
      <c r="BU59" s="14">
        <f>IF(OR(R24="-",R24=""),0,_xlfn.NUMBERVALUE(MID(R24,1,1)))</f>
        <v>2</v>
      </c>
      <c r="BV59" s="18"/>
      <c r="BW59" s="31">
        <f>IF(OR(M24="-",M24=""),0,_xlfn.NUMBERVALUE(MID(M24,3,1)))</f>
        <v>1</v>
      </c>
      <c r="BX59" s="9">
        <f>IF(OR(N24="-",N24=""),0,_xlfn.NUMBERVALUE(MID(N24,3,1)))</f>
        <v>1</v>
      </c>
      <c r="BY59" s="9">
        <f>IF(OR(O24="-",O24=""),0,_xlfn.NUMBERVALUE(MID(O24,3,1)))</f>
        <v>3</v>
      </c>
      <c r="BZ59" s="9">
        <f>IF(OR(P24="-",P24=""),0,_xlfn.NUMBERVALUE(MID(P24,3,1)))</f>
        <v>1</v>
      </c>
      <c r="CA59" s="27"/>
      <c r="CB59" s="10">
        <f>IF(OR(R24="-",R24=""),0,_xlfn.NUMBERVALUE(MID(R24,3,1)))</f>
        <v>2</v>
      </c>
      <c r="CD59" s="15" t="s">
        <v>93</v>
      </c>
      <c r="CE59" s="16">
        <f t="shared" ref="CE59" si="807">SUM(CE57,CE58)</f>
        <v>16</v>
      </c>
      <c r="CF59" s="17">
        <f t="shared" ref="CF59" si="808">SUM(CF57,CF58)</f>
        <v>20</v>
      </c>
      <c r="CG59" s="17">
        <f t="shared" ref="CG59" si="809">SUM(CG57,CG58)</f>
        <v>13</v>
      </c>
      <c r="CH59" s="17">
        <f t="shared" ref="CH59" si="810">SUM(CH57,CH58)</f>
        <v>9</v>
      </c>
      <c r="CI59" s="17">
        <f t="shared" ref="CI59" si="811">SUM(CI57,CI58)</f>
        <v>3</v>
      </c>
      <c r="CJ59" s="24">
        <f t="shared" ref="CJ59" si="812">SUM(CJ57,CJ58)</f>
        <v>7</v>
      </c>
      <c r="CL59" s="11" t="str">
        <f t="shared" si="733"/>
        <v>Malte</v>
      </c>
      <c r="CM59" s="12">
        <f t="shared" ref="CM59" si="813">-CQ55</f>
        <v>-6</v>
      </c>
      <c r="CN59" s="37">
        <f t="shared" ref="CN59" si="814">-CQ56</f>
        <v>-6</v>
      </c>
      <c r="CO59" s="37">
        <f t="shared" ref="CO59" si="815">-CQ57</f>
        <v>-6</v>
      </c>
      <c r="CP59" s="37">
        <f t="shared" ref="CP59" si="816">-CQ58</f>
        <v>-3</v>
      </c>
      <c r="CQ59" s="27"/>
      <c r="CR59" s="41">
        <f t="shared" ref="CR59" si="817">AA59+AG60-(Z60+AH59)</f>
        <v>-3</v>
      </c>
      <c r="CT59" s="8" t="str">
        <f t="shared" si="739"/>
        <v>Malte</v>
      </c>
      <c r="CU59" s="51">
        <f>$DK59+0.01*CM59+0.0001*(BP59+CA55)+0.000001*CA55</f>
        <v>1.94</v>
      </c>
      <c r="CV59" s="51">
        <f>$DK59+0.01*CN59+0.0001*(BQ59+CA56)+0.000001*CA56</f>
        <v>1.94</v>
      </c>
      <c r="CW59" s="51">
        <f>$DK59+0.01*CO59+0.0001*(BR59+CA57)+0.000001*CA57</f>
        <v>1.94</v>
      </c>
      <c r="CX59" s="51">
        <f>$DK59+0.01*CP59+0.0001*(BS59+CA58)+0.000001*CA58</f>
        <v>1.9701009999999999</v>
      </c>
      <c r="CY59" s="47"/>
      <c r="CZ59" s="52">
        <f>$DK59+0.01*CR59+0.0001*(BU59+CA60)+0.000001*CA60</f>
        <v>1.9702</v>
      </c>
      <c r="DB59" s="19" t="str">
        <f t="shared" si="740"/>
        <v>Malte</v>
      </c>
      <c r="DC59" s="3" t="str">
        <f t="shared" ref="DC59" si="818">IF(CZ59&gt;=CY60,CT59,CT60)</f>
        <v>Azerbaïdjan</v>
      </c>
      <c r="DJ59" s="63" t="str">
        <f t="shared" si="746"/>
        <v>Malte</v>
      </c>
      <c r="DK59" s="66">
        <f t="shared" ref="DK59" si="819">AO57</f>
        <v>2</v>
      </c>
      <c r="DL59" s="73">
        <f>COUNTIF(DC55:DG59,L24)</f>
        <v>0</v>
      </c>
      <c r="DM59" s="11" t="str">
        <f t="shared" si="748"/>
        <v>Malte</v>
      </c>
      <c r="DO59" s="11">
        <v>5</v>
      </c>
      <c r="DP59" s="69" t="str">
        <f>VLOOKUP(1,DL55:DM60,2,FALSE)</f>
        <v>Azerbaïdjan</v>
      </c>
      <c r="DQ59" s="11">
        <v>5</v>
      </c>
      <c r="DR59" s="11">
        <f t="shared" ref="DR59" si="820">VLOOKUP(DP59,U55:AB60,8,FALSE)</f>
        <v>6</v>
      </c>
    </row>
    <row r="60" spans="2:122" ht="15.75" customHeight="1" thickBot="1" x14ac:dyDescent="0.3">
      <c r="B60" s="11" t="s">
        <v>120</v>
      </c>
      <c r="C60" s="69" t="str">
        <f t="shared" si="715"/>
        <v>Slovénie</v>
      </c>
      <c r="D60" s="12">
        <f t="shared" si="716"/>
        <v>10</v>
      </c>
      <c r="E60" s="13">
        <f t="shared" si="717"/>
        <v>-1</v>
      </c>
      <c r="F60" s="13">
        <f t="shared" si="718"/>
        <v>10</v>
      </c>
      <c r="G60" s="14">
        <f t="shared" si="719"/>
        <v>5</v>
      </c>
      <c r="H60" s="3"/>
      <c r="I60" s="3"/>
      <c r="J60" s="3"/>
      <c r="U60" s="15" t="str">
        <f t="shared" si="720"/>
        <v>Azerbaïdjan</v>
      </c>
      <c r="V60" s="16">
        <f>IF(OR(M25="-",M25=""),0,IF(MID(M25,1,1)&gt;MID(M25,3,1),3,        IF(MID(M25,1,1)=MID(M25,3,1),1,         IF(MID(M25,1,1)&lt;MID(M25,3,1),0)        )))</f>
        <v>0</v>
      </c>
      <c r="W60" s="17">
        <f>IF(OR(N25="-",N25=""),0,IF(MID(N25,1,1)&gt;MID(N25,3,1),3,        IF(MID(N25,1,1)=MID(N25,3,1),1,         IF(MID(N25,1,1)&lt;MID(N25,3,1),0)        )))</f>
        <v>1</v>
      </c>
      <c r="X60" s="17">
        <f>IF(OR(O25="-",O25=""),0,IF(MID(O25,1,1)&gt;MID(O25,3,1),3,        IF(MID(O25,1,1)=MID(O25,3,1),1,         IF(MID(O25,1,1)&lt;MID(O25,3,1),0)        )))</f>
        <v>0</v>
      </c>
      <c r="Y60" s="17">
        <f>IF(OR(P25="-",P25=""),0,IF(MID(P25,1,1)&gt;MID(P25,3,1),3,        IF(MID(P25,1,1)=MID(P25,3,1),1,         IF(MID(P25,1,1)&lt;MID(P25,3,1),0)        )))</f>
        <v>0</v>
      </c>
      <c r="Z60" s="17">
        <f>IF(OR(Q25="-",Q25=""),0,IF(MID(Q25,1,1)&gt;MID(Q25,3,1),3,        IF(MID(Q25,1,1)=MID(Q25,3,1),1,         IF(MID(Q25,1,1)&lt;MID(Q25,3,1),0)        )))</f>
        <v>3</v>
      </c>
      <c r="AA60" s="28"/>
      <c r="AB60" s="3">
        <v>6</v>
      </c>
      <c r="AC60" s="23">
        <f>IF(OR(M25="-",M25=""),0,IF(MID(M25,3,1)&gt;MID(M25,1,1),3,        IF(MID(M25,3,1)=MID(M25,1,1),1,         IF(MID(M25,3,1)&lt;MID(M25,1,1),0)        )))</f>
        <v>3</v>
      </c>
      <c r="AD60" s="17">
        <f>IF(OR(N25="-",N25=""),0,IF(MID(N25,3,1)&gt;MID(N25,1,1),3,        IF(MID(N25,3,1)=MID(N25,1,1),1,         IF(MID(N25,3,1)&lt;MID(N25,1,1),0)        )))</f>
        <v>1</v>
      </c>
      <c r="AE60" s="17">
        <f>IF(OR(O25="-",O25=""),0,IF(MID(O25,3,1)&gt;MID(O25,1,1),3,        IF(MID(O25,3,1)=MID(O25,1,1),1,         IF(MID(O25,3,1)&lt;MID(O25,1,1),0)        )))</f>
        <v>3</v>
      </c>
      <c r="AF60" s="17">
        <f>IF(OR(P25="-",P25=""),0,IF(MID(P25,3,1)&gt;MID(P25,1,1),3,        IF(MID(P25,3,1)=MID(P25,1,1),1,         IF(MID(P25,3,1)&lt;MID(P25,1,1),0)        )))</f>
        <v>3</v>
      </c>
      <c r="AG60" s="17">
        <f>IF(OR(Q25="-",Q25=""),0,IF(MID(Q25,3,1)&gt;MID(Q25,1,1),3,        IF(MID(Q25,3,1)=MID(Q25,1,1),1,         IF(MID(Q25,3,1)&lt;MID(Q25,1,1),0)        )))</f>
        <v>0</v>
      </c>
      <c r="AH60" s="28"/>
      <c r="AI60" s="36"/>
      <c r="AJ60" s="77"/>
      <c r="AR60" s="15" t="str">
        <f t="shared" si="721"/>
        <v>Azerbaïdjan</v>
      </c>
      <c r="AS60" s="16">
        <f t="shared" si="751"/>
        <v>-2</v>
      </c>
      <c r="AT60" s="16">
        <f t="shared" si="771"/>
        <v>0</v>
      </c>
      <c r="AU60" s="16">
        <f t="shared" si="786"/>
        <v>-1</v>
      </c>
      <c r="AV60" s="16">
        <f t="shared" si="805"/>
        <v>-1</v>
      </c>
      <c r="AW60" s="16">
        <f t="shared" ref="AW60" si="821">BT60-CA60</f>
        <v>2</v>
      </c>
      <c r="AX60" s="82"/>
      <c r="AY60" s="45"/>
      <c r="AZ60" s="23">
        <f t="shared" si="752"/>
        <v>2</v>
      </c>
      <c r="BA60" s="17">
        <f t="shared" si="772"/>
        <v>0</v>
      </c>
      <c r="BB60" s="17">
        <f t="shared" si="787"/>
        <v>1</v>
      </c>
      <c r="BC60" s="17">
        <f t="shared" si="806"/>
        <v>1</v>
      </c>
      <c r="BD60" s="17">
        <f t="shared" ref="BD60" si="822">CA60-BT60</f>
        <v>-2</v>
      </c>
      <c r="BE60" s="92"/>
      <c r="BF60" s="77"/>
      <c r="BG60" s="77"/>
      <c r="BI60" s="77"/>
      <c r="BK60" s="77"/>
      <c r="BM60" s="77"/>
      <c r="BO60" s="15" t="str">
        <f t="shared" si="732"/>
        <v>Azerbaïdjan</v>
      </c>
      <c r="BP60" s="16">
        <f>IF(OR(M25="-",M25=""),0,_xlfn.NUMBERVALUE(MID(M25,1,1)))</f>
        <v>1</v>
      </c>
      <c r="BQ60" s="17">
        <f>IF(OR(N25="-",N25=""),0,_xlfn.NUMBERVALUE(MID(N25,1,1)))</f>
        <v>0</v>
      </c>
      <c r="BR60" s="17">
        <f>IF(OR(O25="-",O25=""),0,_xlfn.NUMBERVALUE(MID(O25,1,1)))</f>
        <v>0</v>
      </c>
      <c r="BS60" s="17">
        <f>IF(OR(P25="-",P25=""),0,_xlfn.NUMBERVALUE(MID(P25,1,1)))</f>
        <v>1</v>
      </c>
      <c r="BT60" s="17">
        <f>IF(OR(Q25="-",Q25=""),0,_xlfn.NUMBERVALUE(MID(Q25,1,1)))</f>
        <v>2</v>
      </c>
      <c r="BU60" s="28"/>
      <c r="BV60" s="18"/>
      <c r="BW60" s="34">
        <f>IF(OR(M25="-",M25=""),0,_xlfn.NUMBERVALUE(MID(M25,3,1)))</f>
        <v>3</v>
      </c>
      <c r="BX60" s="32">
        <f>IF(OR(N25="-",N25=""),0,_xlfn.NUMBERVALUE(MID(N25,3,1)))</f>
        <v>0</v>
      </c>
      <c r="BY60" s="32">
        <f>IF(OR(O25="-",O25=""),0,_xlfn.NUMBERVALUE(MID(O25,3,1)))</f>
        <v>1</v>
      </c>
      <c r="BZ60" s="32">
        <f>IF(OR(P25="-",P25=""),0,_xlfn.NUMBERVALUE(MID(P25,3,1)))</f>
        <v>2</v>
      </c>
      <c r="CA60" s="32">
        <f>IF(OR(Q25="-",Q25=""),0,_xlfn.NUMBERVALUE(MID(Q25,3,1)))</f>
        <v>0</v>
      </c>
      <c r="CB60" s="92"/>
      <c r="CL60" s="15" t="str">
        <f t="shared" si="733"/>
        <v>Azerbaïdjan</v>
      </c>
      <c r="CM60" s="16">
        <f t="shared" ref="CM60" si="823">-CR55</f>
        <v>-6</v>
      </c>
      <c r="CN60" s="17">
        <f t="shared" ref="CN60" si="824">-CR56</f>
        <v>-3</v>
      </c>
      <c r="CO60" s="17">
        <f t="shared" ref="CO60" si="825">-CR57</f>
        <v>-3</v>
      </c>
      <c r="CP60" s="17">
        <f t="shared" ref="CP60" si="826">-CR58</f>
        <v>-6</v>
      </c>
      <c r="CQ60" s="17">
        <f t="shared" ref="CQ60" si="827">-CR59</f>
        <v>3</v>
      </c>
      <c r="CR60" s="28"/>
      <c r="CT60" s="8" t="str">
        <f t="shared" si="739"/>
        <v>Azerbaïdjan</v>
      </c>
      <c r="CU60" s="51">
        <f>$DK60+0.01*CM60+0.0001*(BP60+CB55)+0.000001*CB55</f>
        <v>5.940201000000001</v>
      </c>
      <c r="CV60" s="51">
        <f>$DK60+0.01*CN60+0.0001*(BQ60+CB56)+0.000001*CB56</f>
        <v>5.97</v>
      </c>
      <c r="CW60" s="51">
        <f>$DK60+0.01*CO60+0.0001*(BR60+CB57)+0.000001*CB57</f>
        <v>5.97</v>
      </c>
      <c r="CX60" s="51">
        <f>$DK60+0.01*CP60+0.0001*(BS60+CB58)+0.000001*CB58</f>
        <v>5.9401000000000002</v>
      </c>
      <c r="CY60" s="51">
        <f>$DK60+0.01*CQ60+0.0001*(BT60+CB59)+0.000001*CB59</f>
        <v>6.0304020000000005</v>
      </c>
      <c r="CZ60" s="59"/>
      <c r="DJ60" s="64" t="str">
        <f t="shared" si="746"/>
        <v>Azerbaïdjan</v>
      </c>
      <c r="DK60" s="67">
        <f t="shared" ref="DK60" si="828">AP57</f>
        <v>6</v>
      </c>
      <c r="DL60" s="74">
        <f>COUNTIF(DC55:DG59,L25)</f>
        <v>1</v>
      </c>
      <c r="DM60" s="15" t="str">
        <f t="shared" si="748"/>
        <v>Azerbaïdjan</v>
      </c>
      <c r="DO60" s="15">
        <v>6</v>
      </c>
      <c r="DP60" s="70" t="str">
        <f>VLOOKUP(0,DL55:DM60,2,FALSE)</f>
        <v>Malte</v>
      </c>
      <c r="DQ60" s="15">
        <v>6</v>
      </c>
      <c r="DR60" s="15">
        <f t="shared" ref="DR60" si="829">VLOOKUP(DP60,U55:AB60,8,FALSE)</f>
        <v>5</v>
      </c>
    </row>
    <row r="61" spans="2:122" ht="15.75" customHeight="1" thickBot="1" x14ac:dyDescent="0.3">
      <c r="B61" s="11" t="s">
        <v>121</v>
      </c>
      <c r="C61" s="69" t="str">
        <f t="shared" si="715"/>
        <v>Hongrie</v>
      </c>
      <c r="D61" s="12">
        <f t="shared" si="716"/>
        <v>15</v>
      </c>
      <c r="E61" s="13">
        <f t="shared" si="717"/>
        <v>3</v>
      </c>
      <c r="F61" s="13">
        <f t="shared" si="718"/>
        <v>8</v>
      </c>
      <c r="G61" s="14">
        <f t="shared" si="719"/>
        <v>4</v>
      </c>
      <c r="H61" s="3"/>
      <c r="I61" s="3"/>
      <c r="J61" s="3"/>
      <c r="T61" s="45"/>
      <c r="U61" s="45"/>
      <c r="V61" s="18"/>
      <c r="W61" s="18"/>
      <c r="X61" s="18"/>
      <c r="Y61" s="18"/>
      <c r="Z61" s="18"/>
      <c r="AA61" s="18"/>
      <c r="AC61" s="30" t="str">
        <f t="shared" ref="AC61:AH61" si="830">M26</f>
        <v>Danemark</v>
      </c>
      <c r="AD61" s="6" t="str">
        <f t="shared" si="830"/>
        <v>Portugal</v>
      </c>
      <c r="AE61" s="6" t="str">
        <f t="shared" si="830"/>
        <v>Albanie</v>
      </c>
      <c r="AF61" s="6" t="str">
        <f t="shared" si="830"/>
        <v>Serbie</v>
      </c>
      <c r="AG61" s="6" t="str">
        <f t="shared" si="830"/>
        <v>Arménie</v>
      </c>
      <c r="AH61" s="7" t="str">
        <f t="shared" si="830"/>
        <v>France</v>
      </c>
      <c r="AI61" s="36"/>
      <c r="AJ61" s="45"/>
      <c r="AQ61" s="45"/>
      <c r="AR61" s="45"/>
      <c r="AS61" s="45"/>
      <c r="AT61" s="45"/>
      <c r="AU61" s="45"/>
      <c r="AV61" s="45"/>
      <c r="AW61" s="45"/>
      <c r="AX61" s="45"/>
      <c r="AY61" s="45"/>
      <c r="AZ61" s="83" t="str">
        <f>M26</f>
        <v>Danemark</v>
      </c>
      <c r="BA61" s="84" t="str">
        <f>N26</f>
        <v>Portugal</v>
      </c>
      <c r="BB61" s="84" t="str">
        <f>O26</f>
        <v>Albanie</v>
      </c>
      <c r="BC61" s="84" t="str">
        <f>P26</f>
        <v>Serbie</v>
      </c>
      <c r="BD61" s="85" t="str">
        <f>Q26</f>
        <v>Arménie</v>
      </c>
      <c r="BE61" s="77"/>
      <c r="BF61" s="77"/>
      <c r="BG61" s="77"/>
      <c r="BI61" s="77"/>
      <c r="BK61" s="77"/>
      <c r="BM61" s="77"/>
      <c r="BO61" s="35"/>
      <c r="BP61" s="18"/>
      <c r="BQ61" s="18"/>
      <c r="BR61" s="18"/>
      <c r="BS61" s="18"/>
      <c r="BT61" s="18"/>
      <c r="BU61" s="18"/>
      <c r="BV61" s="18"/>
      <c r="BW61" s="30" t="str">
        <f>M26</f>
        <v>Danemark</v>
      </c>
      <c r="BX61" s="6" t="str">
        <f>N26</f>
        <v>Portugal</v>
      </c>
      <c r="BY61" s="6" t="str">
        <f>O26</f>
        <v>Albanie</v>
      </c>
      <c r="BZ61" s="6" t="str">
        <f>P26</f>
        <v>Serbie</v>
      </c>
      <c r="CA61" s="89" t="str">
        <f>Q26</f>
        <v>Arménie</v>
      </c>
      <c r="CB61" s="45"/>
      <c r="CL61" s="35"/>
      <c r="CM61" s="34" t="str">
        <f>M26</f>
        <v>Danemark</v>
      </c>
      <c r="CN61" s="32" t="str">
        <f>N26</f>
        <v>Portugal</v>
      </c>
      <c r="CO61" s="32" t="str">
        <f>O26</f>
        <v>Albanie</v>
      </c>
      <c r="CP61" s="32" t="str">
        <f>P26</f>
        <v>Serbie</v>
      </c>
      <c r="CQ61" s="33" t="str">
        <f>Q26</f>
        <v>Arménie</v>
      </c>
      <c r="CR61" s="18"/>
      <c r="CT61" s="49"/>
      <c r="CU61" s="30" t="str">
        <f>M26</f>
        <v>Danemark</v>
      </c>
      <c r="CV61" s="6" t="str">
        <f>N26</f>
        <v>Portugal</v>
      </c>
      <c r="CW61" s="6" t="str">
        <f>O26</f>
        <v>Albanie</v>
      </c>
      <c r="CX61" s="6" t="str">
        <f>P26</f>
        <v>Serbie</v>
      </c>
      <c r="CY61" s="7" t="str">
        <f>Q26</f>
        <v>Arménie</v>
      </c>
      <c r="CZ61" s="45"/>
      <c r="DC61" s="56" t="str">
        <f>CY61</f>
        <v>Arménie</v>
      </c>
      <c r="DD61" s="57" t="str">
        <f>CX61</f>
        <v>Serbie</v>
      </c>
      <c r="DE61" s="57" t="str">
        <f>CW61</f>
        <v>Albanie</v>
      </c>
      <c r="DF61" s="58" t="str">
        <f>CV61</f>
        <v>Portugal</v>
      </c>
      <c r="DJ61" s="43"/>
      <c r="DK61" s="43"/>
      <c r="DM61" s="45"/>
    </row>
    <row r="62" spans="2:122" ht="15.75" customHeight="1" thickBot="1" x14ac:dyDescent="0.3">
      <c r="B62" s="11" t="s">
        <v>154</v>
      </c>
      <c r="C62" s="69" t="str">
        <f t="shared" si="715"/>
        <v>Suède</v>
      </c>
      <c r="D62" s="12">
        <f t="shared" si="716"/>
        <v>12</v>
      </c>
      <c r="E62" s="13">
        <f t="shared" si="717"/>
        <v>2</v>
      </c>
      <c r="F62" s="13">
        <f t="shared" si="718"/>
        <v>11</v>
      </c>
      <c r="G62" s="14">
        <f t="shared" si="719"/>
        <v>4</v>
      </c>
      <c r="H62" s="3"/>
      <c r="I62" s="3"/>
      <c r="J62" s="3"/>
      <c r="U62" s="25" t="str">
        <f t="shared" ref="U62:U67" si="831">L27</f>
        <v>Danemark</v>
      </c>
      <c r="V62" s="26"/>
      <c r="W62" s="20">
        <f>IF(OR(N27="-",N27=""),0,IF(MID(N27,1,1)&gt;MID(N27,3,1),3,        IF(MID(N27,1,1)=MID(N27,3,1),1,         IF(MID(N27,1,1)&lt;MID(N27,3,1),0)        )))</f>
        <v>0</v>
      </c>
      <c r="X62" s="20">
        <f>IF(OR(O27="-",O27=""),0,IF(MID(O27,1,1)&gt;MID(O27,3,1),3,        IF(MID(O27,1,1)=MID(O27,3,1),1,         IF(MID(O27,1,1)&lt;MID(O27,3,1),0)        )))</f>
        <v>1</v>
      </c>
      <c r="Y62" s="20">
        <f>IF(OR(P27="-",P27=""),0,IF(MID(P27,1,1)&gt;MID(P27,3,1),3,        IF(MID(P27,1,1)=MID(P27,3,1),1,         IF(MID(P27,1,1)&lt;MID(P27,3,1),0)        )))</f>
        <v>3</v>
      </c>
      <c r="Z62" s="20">
        <f>IF(OR(Q27="-",Q27=""),0,IF(MID(Q27,1,1)&gt;MID(Q27,3,1),3,        IF(MID(Q27,1,1)=MID(Q27,3,1),1,         IF(MID(Q27,1,1)&lt;MID(Q27,3,1),0)        )))</f>
        <v>3</v>
      </c>
      <c r="AA62" s="21">
        <f>IF(OR(R27="-",R27=""),0,IF(MID(R27,1,1)&gt;MID(R27,3,1),3,        IF(MID(R27,1,1)=MID(R27,3,1),1,         IF(MID(R27,1,1)&lt;MID(R27,3,1),0)        )))</f>
        <v>1</v>
      </c>
      <c r="AB62" s="3">
        <v>1</v>
      </c>
      <c r="AC62" s="29"/>
      <c r="AD62" s="9">
        <f>IF(OR(N27="-",N27=""),0,IF(MID(N27,3,1)&gt;MID(N27,1,1),3,        IF(MID(N27,3,1)=MID(N27,1,1),1,         IF(MID(N27,3,1)&lt;MID(N27,1,1),0)        )))</f>
        <v>3</v>
      </c>
      <c r="AE62" s="9">
        <f>IF(OR(O27="-",O27=""),0,IF(MID(O27,3,1)&gt;MID(O27,1,1),3,        IF(MID(O27,3,1)=MID(O27,1,1),1,         IF(MID(O27,3,1)&lt;MID(O27,1,1),0)        )))</f>
        <v>1</v>
      </c>
      <c r="AF62" s="9">
        <f>IF(OR(P27="-",P27=""),0,IF(MID(P27,3,1)&gt;MID(P27,1,1),3,        IF(MID(P27,3,1)=MID(P27,1,1),1,         IF(MID(P27,3,1)&lt;MID(P27,1,1),0)        )))</f>
        <v>0</v>
      </c>
      <c r="AG62" s="9">
        <f>IF(OR(Q27="-",Q27=""),0,IF(MID(Q27,3,1)&gt;MID(Q27,1,1),3,        IF(MID(Q27,3,1)=MID(Q27,1,1),1,         IF(MID(Q27,3,1)&lt;MID(Q27,1,1),0)        )))</f>
        <v>0</v>
      </c>
      <c r="AH62" s="10">
        <f>IF(OR(R27="-",R27=""),0,IF(MID(R27,3,1)&gt;MID(R27,1,1),3,        IF(MID(R27,3,1)=MID(R27,1,1),1,         IF(MID(R27,3,1)&lt;MID(R27,1,1),0)        )))</f>
        <v>1</v>
      </c>
      <c r="AI62" s="36"/>
      <c r="AJ62" s="45"/>
      <c r="AK62" s="525" t="s">
        <v>94</v>
      </c>
      <c r="AL62" s="526"/>
      <c r="AM62" s="526"/>
      <c r="AN62" s="526"/>
      <c r="AO62" s="526"/>
      <c r="AP62" s="527"/>
      <c r="AQ62" s="18"/>
      <c r="AR62" s="25" t="str">
        <f>L27</f>
        <v>Danemark</v>
      </c>
      <c r="AS62" s="26"/>
      <c r="AT62" s="81">
        <f t="shared" ref="AT62" si="832">BQ62-BX62</f>
        <v>-1</v>
      </c>
      <c r="AU62" s="81">
        <f t="shared" ref="AU62:AU63" si="833">BR62-BY62</f>
        <v>0</v>
      </c>
      <c r="AV62" s="81">
        <f t="shared" ref="AV62:AV64" si="834">BS62-BZ62</f>
        <v>2</v>
      </c>
      <c r="AW62" s="68">
        <f t="shared" ref="AW62:AW65" si="835">BT62-CA62</f>
        <v>1</v>
      </c>
      <c r="AX62" s="77"/>
      <c r="AY62" s="45"/>
      <c r="AZ62" s="86"/>
      <c r="BA62" s="20">
        <f t="shared" ref="BA62" si="836">BX62-BQ62</f>
        <v>1</v>
      </c>
      <c r="BB62" s="20">
        <f t="shared" ref="BB62:BB63" si="837">BY62-BR62</f>
        <v>0</v>
      </c>
      <c r="BC62" s="20">
        <f t="shared" ref="BC62:BC64" si="838">BZ62-BS62</f>
        <v>-2</v>
      </c>
      <c r="BD62" s="21">
        <f t="shared" ref="BD62:BD65" si="839">CA62-BT62</f>
        <v>-1</v>
      </c>
      <c r="BE62" s="77"/>
      <c r="BF62" s="77"/>
      <c r="BO62" s="25" t="str">
        <f>L27</f>
        <v>Danemark</v>
      </c>
      <c r="BP62" s="26"/>
      <c r="BQ62" s="20">
        <f>IF(OR(N27="-",N27=""),0,_xlfn.NUMBERVALUE(MID(N27,1,1)))</f>
        <v>0</v>
      </c>
      <c r="BR62" s="20">
        <f>IF(OR(O27="-",O27=""),0,_xlfn.NUMBERVALUE(MID(O27,1,1)))</f>
        <v>0</v>
      </c>
      <c r="BS62" s="20">
        <f>IF(OR(P27="-",P27=""),0,_xlfn.NUMBERVALUE(MID(P27,1,1)))</f>
        <v>2</v>
      </c>
      <c r="BT62" s="21">
        <f>IF(OR(Q27="-",Q27=""),0,_xlfn.NUMBERVALUE(MID(Q27,1,1)))</f>
        <v>2</v>
      </c>
      <c r="BU62" s="77"/>
      <c r="BV62" s="18"/>
      <c r="BW62" s="29"/>
      <c r="BX62" s="9">
        <f>IF(OR(N27="-",N27=""),0,_xlfn.NUMBERVALUE(MID(N27,3,1)))</f>
        <v>1</v>
      </c>
      <c r="BY62" s="9">
        <f>IF(OR(O27="-",O27=""),0,_xlfn.NUMBERVALUE(MID(O27,3,1)))</f>
        <v>0</v>
      </c>
      <c r="BZ62" s="9">
        <f>IF(OR(P27="-",P27=""),0,_xlfn.NUMBERVALUE(MID(P27,3,1)))</f>
        <v>0</v>
      </c>
      <c r="CA62" s="10">
        <f>IF(OR(Q27="-",Q27=""),0,_xlfn.NUMBERVALUE(MID(Q27,3,1)))</f>
        <v>1</v>
      </c>
      <c r="CB62" s="77"/>
      <c r="CE62" s="525" t="s">
        <v>90</v>
      </c>
      <c r="CF62" s="526"/>
      <c r="CG62" s="526"/>
      <c r="CH62" s="526"/>
      <c r="CI62" s="527"/>
      <c r="CL62" s="25" t="str">
        <f>L27</f>
        <v>Danemark</v>
      </c>
      <c r="CM62" s="46"/>
      <c r="CN62" s="9">
        <f t="shared" ref="CN62" si="840">W62+AC63-(V63+AD62)</f>
        <v>-6</v>
      </c>
      <c r="CO62" s="9">
        <f t="shared" ref="CO62" si="841">X62+AC64-(V64+AE62)</f>
        <v>0</v>
      </c>
      <c r="CP62" s="9">
        <f t="shared" ref="CP62" si="842">Y62+AC65-(V65+AF62)</f>
        <v>6</v>
      </c>
      <c r="CQ62" s="10">
        <f t="shared" ref="CQ62" si="843">Z62+AC66-(V66+AG62)</f>
        <v>3</v>
      </c>
      <c r="CR62" s="18"/>
      <c r="CT62" s="8" t="str">
        <f>L27</f>
        <v>Danemark</v>
      </c>
      <c r="CU62" s="47"/>
      <c r="CV62" s="51">
        <f>$DK62+0.01*CN62+0.0001*(BQ62+BW63)+0.000001*BW63</f>
        <v>13.94</v>
      </c>
      <c r="CW62" s="51">
        <f>$DK62+0.01*CO62+0.0001*(BR62+BW64)+0.000001*BW64</f>
        <v>14.000100999999999</v>
      </c>
      <c r="CX62" s="51">
        <f>$DK62+0.01*CP62+0.0001*(BS62+BW65)+0.000001*BW65</f>
        <v>14.060503000000001</v>
      </c>
      <c r="CY62" s="52">
        <f>$DK62+0.01*CQ62+0.0001*(BT62+BW66)+0.000001*BW66</f>
        <v>14.030199999999999</v>
      </c>
      <c r="CZ62" s="50"/>
      <c r="DB62" s="60" t="str">
        <f t="shared" ref="DB62:DB65" si="844">CT62</f>
        <v>Danemark</v>
      </c>
      <c r="DC62" s="3" t="str">
        <f>IF(CY62&gt;=CU66,CT62,CT66)</f>
        <v>Danemark</v>
      </c>
      <c r="DD62" s="3" t="str">
        <f>IF(CX62&gt;=CU65,CT62,CT65)</f>
        <v>Danemark</v>
      </c>
      <c r="DE62" s="3" t="str">
        <f>IF(CW62&gt;=CU64,CT62,CT64)</f>
        <v>Albanie</v>
      </c>
      <c r="DF62" s="3" t="str">
        <f>IF(CV62&gt;=CU63,CT62,CT63)</f>
        <v>Portugal</v>
      </c>
      <c r="DJ62" s="62" t="str">
        <f>L27</f>
        <v>Danemark</v>
      </c>
      <c r="DK62" s="65">
        <f t="shared" ref="DK62" si="845">AK64</f>
        <v>14</v>
      </c>
      <c r="DL62" s="72">
        <f>COUNTIF(DC62:DG66,L27)</f>
        <v>2</v>
      </c>
      <c r="DM62" s="25" t="str">
        <f>L27</f>
        <v>Danemark</v>
      </c>
      <c r="DO62" s="25">
        <v>1</v>
      </c>
      <c r="DP62" s="68" t="str">
        <f>VLOOKUP(4,DL62:DM66,2,FALSE)</f>
        <v>Portugal</v>
      </c>
      <c r="DQ62" s="25">
        <v>1</v>
      </c>
      <c r="DR62" s="25">
        <f t="shared" ref="DR62" si="846">VLOOKUP(DP62,U62:AB67,8,FALSE)</f>
        <v>2</v>
      </c>
    </row>
    <row r="63" spans="2:122" ht="15.75" customHeight="1" thickBot="1" x14ac:dyDescent="0.3">
      <c r="B63" s="11" t="s">
        <v>153</v>
      </c>
      <c r="C63" s="69" t="str">
        <f t="shared" si="715"/>
        <v>Norvège</v>
      </c>
      <c r="D63" s="12">
        <f t="shared" si="716"/>
        <v>13</v>
      </c>
      <c r="E63" s="13">
        <f t="shared" si="717"/>
        <v>-2</v>
      </c>
      <c r="F63" s="13">
        <f t="shared" si="718"/>
        <v>8</v>
      </c>
      <c r="G63" s="14">
        <f t="shared" si="719"/>
        <v>4</v>
      </c>
      <c r="H63" s="3"/>
      <c r="I63" s="3"/>
      <c r="J63" s="3"/>
      <c r="U63" s="11" t="str">
        <f t="shared" si="831"/>
        <v>Portugal</v>
      </c>
      <c r="V63" s="12">
        <f>IF(OR(M28="-",M28=""),0,IF(MID(M28,1,1)&gt;MID(M28,3,1),3,        IF(MID(M28,1,1)=MID(M28,3,1),1,         IF(MID(M28,1,1)&lt;MID(M28,3,1),0)        )))</f>
        <v>3</v>
      </c>
      <c r="W63" s="27"/>
      <c r="X63" s="13">
        <f>IF(OR(O28="-",O28=""),0,IF(MID(O28,1,1)&gt;MID(O28,3,1),3,        IF(MID(O28,1,1)=MID(O28,3,1),1,         IF(MID(O28,1,1)&lt;MID(O28,3,1),0)        )))</f>
        <v>0</v>
      </c>
      <c r="Y63" s="13">
        <f>IF(OR(P28="-",P28=""),0,IF(MID(P28,1,1)&gt;MID(P28,3,1),3,        IF(MID(P28,1,1)=MID(P28,3,1),1,         IF(MID(P28,1,1)&lt;MID(P28,3,1),0)        )))</f>
        <v>3</v>
      </c>
      <c r="Z63" s="13">
        <f>IF(OR(Q28="-",Q28=""),0,IF(MID(Q28,1,1)&gt;MID(Q28,3,1),3,        IF(MID(Q28,1,1)=MID(Q28,3,1),1,         IF(MID(Q28,1,1)&lt;MID(Q28,3,1),0)        )))</f>
        <v>3</v>
      </c>
      <c r="AA63" s="14">
        <f>IF(OR(R28="-",R28=""),0,IF(MID(R28,1,1)&gt;MID(R28,3,1),3,        IF(MID(R28,1,1)=MID(R28,3,1),1,         IF(MID(R28,1,1)&lt;MID(R28,3,1),0)        )))</f>
        <v>1</v>
      </c>
      <c r="AB63" s="3">
        <v>2</v>
      </c>
      <c r="AC63" s="22">
        <f>IF(OR(M28="-",M28=""),0,IF(MID(M28,3,1)&gt;MID(M28,1,1),3,        IF(MID(M28,3,1)=MID(M28,1,1),1,         IF(MID(M28,3,1)&lt;MID(M28,1,1),0)        )))</f>
        <v>0</v>
      </c>
      <c r="AD63" s="27"/>
      <c r="AE63" s="13">
        <f>IF(OR(O28="-",O28=""),0,IF(MID(O28,3,1)&gt;MID(O28,1,1),3,        IF(MID(O28,3,1)=MID(O28,1,1),1,         IF(MID(O28,3,1)&lt;MID(O28,1,1),0)        )))</f>
        <v>3</v>
      </c>
      <c r="AF63" s="13">
        <f>IF(OR(P28="-",P28=""),0,IF(MID(P28,3,1)&gt;MID(P28,1,1),3,        IF(MID(P28,3,1)=MID(P28,1,1),1,         IF(MID(P28,3,1)&lt;MID(P28,1,1),0)        )))</f>
        <v>0</v>
      </c>
      <c r="AG63" s="13">
        <f>IF(OR(Q28="-",Q28=""),0,IF(MID(Q28,3,1)&gt;MID(Q28,1,1),3,        IF(MID(Q28,3,1)=MID(Q28,1,1),1,         IF(MID(Q28,3,1)&lt;MID(Q28,1,1),0)        )))</f>
        <v>0</v>
      </c>
      <c r="AH63" s="14">
        <f>IF(OR(R28="-",R28=""),0,IF(MID(R28,3,1)&gt;MID(R28,1,1),3,        IF(MID(R28,3,1)=MID(R28,1,1),1,         IF(MID(R28,3,1)&lt;MID(R28,1,1),0)        )))</f>
        <v>1</v>
      </c>
      <c r="AI63" s="36"/>
      <c r="AJ63" s="77"/>
      <c r="AK63" s="31" t="str">
        <f t="shared" ref="AK63:AP63" si="847">M26</f>
        <v>Danemark</v>
      </c>
      <c r="AL63" s="9" t="str">
        <f t="shared" si="847"/>
        <v>Portugal</v>
      </c>
      <c r="AM63" s="9" t="str">
        <f t="shared" si="847"/>
        <v>Albanie</v>
      </c>
      <c r="AN63" s="9" t="str">
        <f t="shared" si="847"/>
        <v>Serbie</v>
      </c>
      <c r="AO63" s="9" t="str">
        <f t="shared" si="847"/>
        <v>Arménie</v>
      </c>
      <c r="AP63" s="10" t="str">
        <f t="shared" si="847"/>
        <v>France</v>
      </c>
      <c r="AQ63" s="18"/>
      <c r="AR63" s="11" t="str">
        <f>L28</f>
        <v>Portugal</v>
      </c>
      <c r="AS63" s="12">
        <f t="shared" ref="AS63:AS66" si="848">BP63-BW63</f>
        <v>1</v>
      </c>
      <c r="AT63" s="80"/>
      <c r="AU63" s="12">
        <f t="shared" si="833"/>
        <v>-1</v>
      </c>
      <c r="AV63" s="12">
        <f t="shared" si="834"/>
        <v>1</v>
      </c>
      <c r="AW63" s="69">
        <f t="shared" si="835"/>
        <v>1</v>
      </c>
      <c r="AX63" s="77"/>
      <c r="AY63" s="45"/>
      <c r="AZ63" s="22">
        <f t="shared" ref="AZ63:AZ66" si="849">BW63-BP63</f>
        <v>-1</v>
      </c>
      <c r="BA63" s="27"/>
      <c r="BB63" s="13">
        <f t="shared" si="837"/>
        <v>1</v>
      </c>
      <c r="BC63" s="13">
        <f t="shared" si="838"/>
        <v>-1</v>
      </c>
      <c r="BD63" s="14">
        <f t="shared" si="839"/>
        <v>-1</v>
      </c>
      <c r="BE63" s="77"/>
      <c r="BF63" s="77"/>
      <c r="BG63" s="3"/>
      <c r="BH63" s="525" t="s">
        <v>104</v>
      </c>
      <c r="BI63" s="526"/>
      <c r="BJ63" s="526"/>
      <c r="BK63" s="526"/>
      <c r="BL63" s="527"/>
      <c r="BM63" s="43"/>
      <c r="BO63" s="11" t="str">
        <f>L28</f>
        <v>Portugal</v>
      </c>
      <c r="BP63" s="12">
        <f>IF(OR(M28="-",M28=""),0,_xlfn.NUMBERVALUE(MID(M28,1,1)))</f>
        <v>1</v>
      </c>
      <c r="BQ63" s="27"/>
      <c r="BR63" s="13">
        <f>IF(OR(O28="-",O28=""),0,_xlfn.NUMBERVALUE(MID(O28,1,1)))</f>
        <v>0</v>
      </c>
      <c r="BS63" s="13">
        <f>IF(OR(P28="-",P28=""),0,_xlfn.NUMBERVALUE(MID(P28,1,1)))</f>
        <v>2</v>
      </c>
      <c r="BT63" s="14">
        <f>IF(OR(Q28="-",Q28=""),0,_xlfn.NUMBERVALUE(MID(Q28,1,1)))</f>
        <v>1</v>
      </c>
      <c r="BU63" s="77"/>
      <c r="BV63" s="18"/>
      <c r="BW63" s="31">
        <f>IF(OR(M28="-",M28=""),0,_xlfn.NUMBERVALUE(MID(M28,3,1)))</f>
        <v>0</v>
      </c>
      <c r="BX63" s="27"/>
      <c r="BY63" s="9">
        <f>IF(OR(O28="-",O28=""),0,_xlfn.NUMBERVALUE(MID(O28,3,1)))</f>
        <v>1</v>
      </c>
      <c r="BZ63" s="9">
        <f>IF(OR(P28="-",P28=""),0,_xlfn.NUMBERVALUE(MID(P28,3,1)))</f>
        <v>1</v>
      </c>
      <c r="CA63" s="10">
        <f>IF(OR(Q28="-",Q28=""),0,_xlfn.NUMBERVALUE(MID(Q28,3,1)))</f>
        <v>0</v>
      </c>
      <c r="CB63" s="77"/>
      <c r="CD63" s="4" t="s">
        <v>86</v>
      </c>
      <c r="CE63" s="30" t="str">
        <f>M26</f>
        <v>Danemark</v>
      </c>
      <c r="CF63" s="6" t="str">
        <f>N26</f>
        <v>Portugal</v>
      </c>
      <c r="CG63" s="6" t="str">
        <f>O26</f>
        <v>Albanie</v>
      </c>
      <c r="CH63" s="6" t="str">
        <f>P26</f>
        <v>Serbie</v>
      </c>
      <c r="CI63" s="7" t="str">
        <f>Q26</f>
        <v>Arménie</v>
      </c>
      <c r="CJ63" s="45"/>
      <c r="CL63" s="11" t="str">
        <f>L28</f>
        <v>Portugal</v>
      </c>
      <c r="CM63" s="9">
        <f t="shared" ref="CM63" si="850">-CN62</f>
        <v>6</v>
      </c>
      <c r="CN63" s="27"/>
      <c r="CO63" s="37">
        <f t="shared" ref="CO63" si="851">X63+AD64-(W64+AE63)</f>
        <v>0</v>
      </c>
      <c r="CP63" s="37">
        <f t="shared" ref="CP63" si="852">Y63+AD65-(W65+AF63)</f>
        <v>6</v>
      </c>
      <c r="CQ63" s="41">
        <f t="shared" ref="CQ63" si="853">Z63+AD66-(W66+AG63)</f>
        <v>6</v>
      </c>
      <c r="CR63" s="36"/>
      <c r="CT63" s="8" t="str">
        <f>L28</f>
        <v>Portugal</v>
      </c>
      <c r="CU63" s="51">
        <f>$DK63+0.01*CM63+0.0001*(BP63+BX62)+0.000001*BX62</f>
        <v>22.060200999999999</v>
      </c>
      <c r="CV63" s="47"/>
      <c r="CW63" s="51">
        <f>$DK63+0.01*CO63+0.0001*(BR63+BX64)+0.000001*BX64</f>
        <v>22.000101000000001</v>
      </c>
      <c r="CX63" s="51">
        <f>$DK63+0.01*CP63+0.0001*(BS63+BX65)+0.000001*BX65</f>
        <v>22.060401999999996</v>
      </c>
      <c r="CY63" s="52">
        <f>$DK63+0.01*CQ63+0.0001*(BT63+BX66)+0.000001*BX66</f>
        <v>22.060402999999997</v>
      </c>
      <c r="CZ63" s="50"/>
      <c r="DB63" s="61" t="str">
        <f t="shared" si="844"/>
        <v>Portugal</v>
      </c>
      <c r="DC63" s="3" t="str">
        <f>IF(CY63&gt;=CV66,CT63,CT66)</f>
        <v>Portugal</v>
      </c>
      <c r="DD63" s="3" t="str">
        <f>IF(CX63&gt;=CV65,CT63,CT65)</f>
        <v>Portugal</v>
      </c>
      <c r="DE63" s="3" t="str">
        <f>IF(CW63&gt;=CV64,CT63,CT64)</f>
        <v>Portugal</v>
      </c>
      <c r="DJ63" s="63" t="str">
        <f>L28</f>
        <v>Portugal</v>
      </c>
      <c r="DK63" s="66">
        <f t="shared" ref="DK63" si="854">AL64</f>
        <v>22</v>
      </c>
      <c r="DL63" s="73">
        <f>COUNTIF(DC62:DG66,L28)</f>
        <v>4</v>
      </c>
      <c r="DM63" s="11" t="str">
        <f>L28</f>
        <v>Portugal</v>
      </c>
      <c r="DO63" s="11">
        <v>2</v>
      </c>
      <c r="DP63" s="69" t="str">
        <f>VLOOKUP(3,DL62:DM66,2,FALSE)</f>
        <v>Albanie</v>
      </c>
      <c r="DQ63" s="11">
        <v>2</v>
      </c>
      <c r="DR63" s="11">
        <f t="shared" ref="DR63" si="855">VLOOKUP(DP63,U62:AB67,8,FALSE)</f>
        <v>3</v>
      </c>
    </row>
    <row r="64" spans="2:122" ht="15.75" customHeight="1" thickBot="1" x14ac:dyDescent="0.3">
      <c r="B64" s="15" t="s">
        <v>152</v>
      </c>
      <c r="C64" s="70" t="str">
        <f t="shared" si="715"/>
        <v>Danemark</v>
      </c>
      <c r="D64" s="16">
        <f t="shared" si="716"/>
        <v>14</v>
      </c>
      <c r="E64" s="17">
        <f t="shared" si="717"/>
        <v>3</v>
      </c>
      <c r="F64" s="17">
        <f t="shared" si="718"/>
        <v>8</v>
      </c>
      <c r="G64" s="24">
        <f t="shared" si="719"/>
        <v>4</v>
      </c>
      <c r="H64" s="3"/>
      <c r="I64" s="3"/>
      <c r="J64" s="3"/>
      <c r="U64" s="11" t="str">
        <f t="shared" si="831"/>
        <v>Albanie</v>
      </c>
      <c r="V64" s="12">
        <f>IF(OR(M29="-",M29=""),0,IF(MID(M29,1,1)&gt;MID(M29,3,1),3,        IF(MID(M29,1,1)=MID(M29,3,1),1,         IF(MID(M29,1,1)&lt;MID(M29,3,1),0)        )))</f>
        <v>1</v>
      </c>
      <c r="W64" s="13">
        <f>IF(OR(N29="-",N29=""),0,IF(MID(N29,1,1)&gt;MID(N29,3,1),3,        IF(MID(N29,1,1)=MID(N29,3,1),1,         IF(MID(N29,1,1)&lt;MID(N29,3,1),0)        )))</f>
        <v>0</v>
      </c>
      <c r="X64" s="27"/>
      <c r="Y64" s="13">
        <f>IF(OR(P29="-",P29=""),0,IF(MID(P29,1,1)&gt;MID(P29,3,1),3,        IF(MID(P29,1,1)=MID(P29,3,1),1,         IF(MID(P29,1,1)&lt;MID(P29,3,1),0)        )))</f>
        <v>0</v>
      </c>
      <c r="Z64" s="13">
        <f>IF(OR(Q29="-",Q29=""),0,IF(MID(Q29,1,1)&gt;MID(Q29,3,1),3,        IF(MID(Q29,1,1)=MID(Q29,3,1),1,         IF(MID(Q29,1,1)&lt;MID(Q29,3,1),0)        )))</f>
        <v>3</v>
      </c>
      <c r="AA64" s="14">
        <f>IF(OR(R29="-",R29=""),0,IF(MID(R29,1,1)&gt;MID(R29,3,1),3,        IF(MID(R29,1,1)=MID(R29,3,1),1,         IF(MID(R29,1,1)&lt;MID(R29,3,1),0)        )))</f>
        <v>1</v>
      </c>
      <c r="AB64" s="3">
        <v>3</v>
      </c>
      <c r="AC64" s="22">
        <f>IF(OR(M29="-",M29=""),0,IF(MID(M29,3,1)&gt;MID(M29,1,1),3,        IF(MID(M29,3,1)=MID(M29,1,1),1,         IF(MID(M29,3,1)&lt;MID(M29,1,1),0)        )))</f>
        <v>1</v>
      </c>
      <c r="AD64" s="13">
        <f>IF(OR(N29="-",N29=""),0,IF(MID(N29,3,1)&gt;MID(N29,1,1),3,        IF(MID(N29,3,1)=MID(N29,1,1),1,         IF(MID(N29,3,1)&lt;MID(N29,1,1),0)        )))</f>
        <v>3</v>
      </c>
      <c r="AE64" s="27"/>
      <c r="AF64" s="13">
        <f>IF(OR(P29="-",P29=""),0,IF(MID(P29,3,1)&gt;MID(P29,1,1),3,        IF(MID(P29,3,1)=MID(P29,1,1),1,         IF(MID(P29,3,1)&lt;MID(P29,1,1),0)        )))</f>
        <v>3</v>
      </c>
      <c r="AG64" s="13">
        <f>IF(OR(Q29="-",Q29=""),0,IF(MID(Q29,3,1)&gt;MID(Q29,1,1),3,        IF(MID(Q29,3,1)=MID(Q29,1,1),1,         IF(MID(Q29,3,1)&lt;MID(Q29,1,1),0)        )))</f>
        <v>0</v>
      </c>
      <c r="AH64" s="14">
        <f>IF(OR(R29="-",R29=""),0,IF(MID(R29,3,1)&gt;MID(R29,1,1),3,        IF(MID(R29,3,1)=MID(R29,1,1),1,         IF(MID(R29,3,1)&lt;MID(R29,1,1),0)        )))</f>
        <v>1</v>
      </c>
      <c r="AI64" s="36"/>
      <c r="AJ64" s="77"/>
      <c r="AK64" s="23">
        <f t="shared" ref="AK64" si="856">SUM(W62:AA62,AC63:AC67)</f>
        <v>14</v>
      </c>
      <c r="AL64" s="17">
        <f t="shared" ref="AL64" si="857">SUM(V63,X63:AA63,AD62,AD64:AD67)</f>
        <v>22</v>
      </c>
      <c r="AM64" s="17">
        <f t="shared" ref="AM64" si="858">SUM(V64:W64,Y64:AA64,AE62:AE63,AE65:AE67)</f>
        <v>16</v>
      </c>
      <c r="AN64" s="17">
        <f t="shared" ref="AN64" si="859">SUM(V65:X65,Z65:AA65,AF62:AF64,AF66:AF67)</f>
        <v>9</v>
      </c>
      <c r="AO64" s="17">
        <f t="shared" ref="AO64" si="860">SUM(V66:Y66,AA66,AG62:AG65,AG67)</f>
        <v>3</v>
      </c>
      <c r="AP64" s="24">
        <f t="shared" ref="AP64" si="861">SUM(V67:Z67,AH62:AH66)</f>
        <v>14</v>
      </c>
      <c r="AQ64" s="18"/>
      <c r="AR64" s="11" t="str">
        <f>L29</f>
        <v>Albanie</v>
      </c>
      <c r="AS64" s="12">
        <f t="shared" si="848"/>
        <v>0</v>
      </c>
      <c r="AT64" s="12">
        <f t="shared" ref="AT64:AT66" si="862">BQ64-BX64</f>
        <v>-1</v>
      </c>
      <c r="AU64" s="80"/>
      <c r="AV64" s="12">
        <f t="shared" si="834"/>
        <v>-2</v>
      </c>
      <c r="AW64" s="69">
        <f t="shared" si="835"/>
        <v>1</v>
      </c>
      <c r="AX64" s="77"/>
      <c r="AY64" s="45"/>
      <c r="AZ64" s="22">
        <f t="shared" si="849"/>
        <v>0</v>
      </c>
      <c r="BA64" s="13">
        <f t="shared" ref="BA64:BA66" si="863">BX64-BQ64</f>
        <v>1</v>
      </c>
      <c r="BB64" s="27"/>
      <c r="BC64" s="13">
        <f t="shared" si="838"/>
        <v>2</v>
      </c>
      <c r="BD64" s="14">
        <f t="shared" si="839"/>
        <v>-1</v>
      </c>
      <c r="BE64" s="77"/>
      <c r="BF64" s="77"/>
      <c r="BG64" s="4" t="s">
        <v>86</v>
      </c>
      <c r="BH64" s="30" t="str">
        <f>M26</f>
        <v>Danemark</v>
      </c>
      <c r="BI64" s="5" t="str">
        <f>N26</f>
        <v>Portugal</v>
      </c>
      <c r="BJ64" s="5" t="str">
        <f>O26</f>
        <v>Albanie</v>
      </c>
      <c r="BK64" s="5" t="str">
        <f>P26</f>
        <v>Serbie</v>
      </c>
      <c r="BL64" s="76" t="str">
        <f>Q26</f>
        <v>Arménie</v>
      </c>
      <c r="BM64" s="45"/>
      <c r="BO64" s="11" t="str">
        <f>L29</f>
        <v>Albanie</v>
      </c>
      <c r="BP64" s="12">
        <f>IF(OR(M29="-",M29=""),0,_xlfn.NUMBERVALUE(MID(M29,1,1)))</f>
        <v>1</v>
      </c>
      <c r="BQ64" s="13">
        <f>IF(OR(N29="-",N29=""),0,_xlfn.NUMBERVALUE(MID(N29,1,1)))</f>
        <v>0</v>
      </c>
      <c r="BR64" s="27"/>
      <c r="BS64" s="13">
        <f>IF(OR(P29="-",P29=""),0,_xlfn.NUMBERVALUE(MID(P29,1,1)))</f>
        <v>0</v>
      </c>
      <c r="BT64" s="14">
        <f>IF(OR(Q29="-",Q29=""),0,_xlfn.NUMBERVALUE(MID(Q29,1,1)))</f>
        <v>2</v>
      </c>
      <c r="BU64" s="77"/>
      <c r="BV64" s="18"/>
      <c r="BW64" s="31">
        <f>IF(OR(M29="-",M29=""),0,_xlfn.NUMBERVALUE(MID(M29,3,1)))</f>
        <v>1</v>
      </c>
      <c r="BX64" s="9">
        <f>IF(OR(N29="-",N29=""),0,_xlfn.NUMBERVALUE(MID(N29,3,1)))</f>
        <v>1</v>
      </c>
      <c r="BY64" s="27"/>
      <c r="BZ64" s="9">
        <f>IF(OR(P29="-",P29=""),0,_xlfn.NUMBERVALUE(MID(P29,3,1)))</f>
        <v>2</v>
      </c>
      <c r="CA64" s="10">
        <f>IF(OR(Q29="-",Q29=""),0,_xlfn.NUMBERVALUE(MID(Q29,3,1)))</f>
        <v>1</v>
      </c>
      <c r="CB64" s="77"/>
      <c r="CD64" s="8" t="s">
        <v>91</v>
      </c>
      <c r="CE64" s="94">
        <f>SUM(BQ62:BT62)</f>
        <v>4</v>
      </c>
      <c r="CF64" s="9">
        <f>SUM(BP63,BR63:BU63)</f>
        <v>4</v>
      </c>
      <c r="CG64" s="9">
        <f>SUM(BP64:BQ64,BS64:BU64)</f>
        <v>3</v>
      </c>
      <c r="CH64" s="9">
        <f>SUM(BP65:BR65,BT65:BU65)</f>
        <v>4</v>
      </c>
      <c r="CI64" s="10">
        <f>SUM(BP66:BS66,BU66)</f>
        <v>3</v>
      </c>
      <c r="CJ64" s="45"/>
      <c r="CL64" s="11" t="str">
        <f>L29</f>
        <v>Albanie</v>
      </c>
      <c r="CM64" s="12">
        <f t="shared" ref="CM64" si="864">-CO62</f>
        <v>0</v>
      </c>
      <c r="CN64" s="13">
        <f t="shared" ref="CN64" si="865">-CO63</f>
        <v>0</v>
      </c>
      <c r="CO64" s="27"/>
      <c r="CP64" s="37">
        <f t="shared" ref="CP64" si="866">Y64+AE65-(X65+AF64)</f>
        <v>0</v>
      </c>
      <c r="CQ64" s="41">
        <f t="shared" ref="CQ64" si="867">Z64+AE66-(X66+AG64)</f>
        <v>6</v>
      </c>
      <c r="CR64" s="36"/>
      <c r="CT64" s="8" t="str">
        <f>L29</f>
        <v>Albanie</v>
      </c>
      <c r="CU64" s="51">
        <f>$DK64+0.01*CM64+0.0001*(BP64+BY62)+0.000001*BY62</f>
        <v>16.0001</v>
      </c>
      <c r="CV64" s="51">
        <f>$DK64+0.01*CN64+0.0001*(BQ64+BY63)+0.000001*BY63</f>
        <v>16.000101000000001</v>
      </c>
      <c r="CW64" s="47"/>
      <c r="CX64" s="51">
        <f>$DK64+0.01*CP64+0.0001*(BS64+BY65)+0.000001*BY65</f>
        <v>16.000302999999999</v>
      </c>
      <c r="CY64" s="52">
        <f>$DK64+0.01*CQ64+0.0001*(BT64+BY66)+0.000001*BY66</f>
        <v>16.060502999999997</v>
      </c>
      <c r="CZ64" s="50"/>
      <c r="DB64" s="61" t="str">
        <f t="shared" si="844"/>
        <v>Albanie</v>
      </c>
      <c r="DC64" s="3" t="str">
        <f>IF(CY64&gt;=CW66,CT64,CT66)</f>
        <v>Albanie</v>
      </c>
      <c r="DD64" s="3" t="str">
        <f>IF(CX64&gt;=CW65,CT64,CT65)</f>
        <v>Albanie</v>
      </c>
      <c r="DJ64" s="63" t="str">
        <f>L29</f>
        <v>Albanie</v>
      </c>
      <c r="DK64" s="66">
        <f t="shared" ref="DK64" si="868">AM64</f>
        <v>16</v>
      </c>
      <c r="DL64" s="73">
        <f>COUNTIF(DC62:DG66,L29)</f>
        <v>3</v>
      </c>
      <c r="DM64" s="11" t="str">
        <f>L29</f>
        <v>Albanie</v>
      </c>
      <c r="DO64" s="11">
        <v>3</v>
      </c>
      <c r="DP64" s="69" t="str">
        <f>VLOOKUP(2,DL62:DM66,2,FALSE)</f>
        <v>Danemark</v>
      </c>
      <c r="DQ64" s="11">
        <v>3</v>
      </c>
      <c r="DR64" s="11">
        <f t="shared" ref="DR64" si="869">VLOOKUP(DP64,U62:AB67,8,FALSE)</f>
        <v>1</v>
      </c>
    </row>
    <row r="65" spans="21:122" ht="15.75" customHeight="1" thickBot="1" x14ac:dyDescent="0.3">
      <c r="U65" s="11" t="str">
        <f t="shared" si="831"/>
        <v>Serbie</v>
      </c>
      <c r="V65" s="12">
        <f>IF(OR(M30="-",M30=""),0,IF(MID(M30,1,1)&gt;MID(M30,3,1),3,        IF(MID(M30,1,1)=MID(M30,3,1),1,         IF(MID(M30,1,1)&lt;MID(M30,3,1),0)        )))</f>
        <v>0</v>
      </c>
      <c r="W65" s="13">
        <f>IF(OR(N30="-",N30=""),0,IF(MID(N30,1,1)&gt;MID(N30,3,1),3,        IF(MID(N30,1,1)=MID(N30,3,1),1,         IF(MID(N30,1,1)&lt;MID(N30,3,1),0)        )))</f>
        <v>0</v>
      </c>
      <c r="X65" s="13">
        <f>IF(OR(O30="-",O30=""),0,IF(MID(O30,1,1)&gt;MID(O30,3,1),3,        IF(MID(O30,1,1)=MID(O30,3,1),1,         IF(MID(O30,1,1)&lt;MID(O30,3,1),0)        )))</f>
        <v>0</v>
      </c>
      <c r="Y65" s="27"/>
      <c r="Z65" s="13">
        <f>IF(OR(Q30="-",Q30=""),0,IF(MID(Q30,1,1)&gt;MID(Q30,3,1),3,        IF(MID(Q30,1,1)=MID(Q30,3,1),1,         IF(MID(Q30,1,1)&lt;MID(Q30,3,1),0)        )))</f>
        <v>3</v>
      </c>
      <c r="AA65" s="14">
        <f>IF(OR(R30="-",R30=""),0,IF(MID(R30,1,1)&gt;MID(R30,3,1),3,        IF(MID(R30,1,1)=MID(R30,3,1),1,         IF(MID(R30,1,1)&lt;MID(R30,3,1),0)        )))</f>
        <v>1</v>
      </c>
      <c r="AB65" s="3">
        <v>4</v>
      </c>
      <c r="AC65" s="22">
        <f>IF(OR(M30="-",M30=""),0,IF(MID(M30,3,1)&gt;MID(M30,1,1),3,        IF(MID(M30,3,1)=MID(M30,1,1),1,         IF(MID(M30,3,1)&lt;MID(M30,1,1),0)        )))</f>
        <v>3</v>
      </c>
      <c r="AD65" s="13">
        <f>IF(OR(N30="-",N30=""),0,IF(MID(N30,3,1)&gt;MID(N30,1,1),3,        IF(MID(N30,3,1)=MID(N30,1,1),1,         IF(MID(N30,3,1)&lt;MID(N30,1,1),0)        )))</f>
        <v>3</v>
      </c>
      <c r="AE65" s="13">
        <f>IF(OR(O30="-",O30=""),0,IF(MID(O30,3,1)&gt;MID(O30,1,1),3,        IF(MID(O30,3,1)=MID(O30,1,1),1,         IF(MID(O30,3,1)&lt;MID(O30,1,1),0)        )))</f>
        <v>3</v>
      </c>
      <c r="AF65" s="27"/>
      <c r="AG65" s="13">
        <f>IF(OR(Q30="-",Q30=""),0,IF(MID(Q30,3,1)&gt;MID(Q30,1,1),3,        IF(MID(Q30,3,1)=MID(Q30,1,1),1,         IF(MID(Q30,3,1)&lt;MID(Q30,1,1),0)        )))</f>
        <v>0</v>
      </c>
      <c r="AH65" s="14">
        <f>IF(OR(R30="-",R30=""),0,IF(MID(R30,3,1)&gt;MID(R30,1,1),3,        IF(MID(R30,3,1)=MID(R30,1,1),1,         IF(MID(R30,3,1)&lt;MID(R30,1,1),0)        )))</f>
        <v>1</v>
      </c>
      <c r="AI65" s="77"/>
      <c r="AJ65" s="77"/>
      <c r="AK65" s="45"/>
      <c r="AL65" s="45"/>
      <c r="AM65" s="45"/>
      <c r="AN65" s="45"/>
      <c r="AO65" s="45"/>
      <c r="AP65" s="45"/>
      <c r="AQ65" s="18"/>
      <c r="AR65" s="11" t="str">
        <f>L30</f>
        <v>Serbie</v>
      </c>
      <c r="AS65" s="12">
        <f t="shared" si="848"/>
        <v>-2</v>
      </c>
      <c r="AT65" s="12">
        <f t="shared" si="862"/>
        <v>-1</v>
      </c>
      <c r="AU65" s="12">
        <f t="shared" ref="AU65:AU66" si="870">BR65-BY65</f>
        <v>-3</v>
      </c>
      <c r="AV65" s="80"/>
      <c r="AW65" s="69">
        <f t="shared" si="835"/>
        <v>2</v>
      </c>
      <c r="AX65" s="77"/>
      <c r="AY65" s="45"/>
      <c r="AZ65" s="22">
        <f t="shared" si="849"/>
        <v>2</v>
      </c>
      <c r="BA65" s="13">
        <f t="shared" si="863"/>
        <v>1</v>
      </c>
      <c r="BB65" s="13">
        <f t="shared" ref="BB65:BB66" si="871">BY65-BR65</f>
        <v>3</v>
      </c>
      <c r="BC65" s="27"/>
      <c r="BD65" s="14">
        <f t="shared" si="839"/>
        <v>-2</v>
      </c>
      <c r="BE65" s="77"/>
      <c r="BF65" s="77"/>
      <c r="BG65" s="19" t="s">
        <v>91</v>
      </c>
      <c r="BH65" s="93">
        <f t="shared" ref="BH65" si="872">SUM(AT62:AX62,AZ63:AZ67)</f>
        <v>3</v>
      </c>
      <c r="BI65" s="32">
        <f t="shared" ref="BI65" si="873">SUM(AS63,AU63:AX63,BA62,BA64:BA67)</f>
        <v>6</v>
      </c>
      <c r="BJ65" s="32">
        <f t="shared" ref="BJ65" si="874">SUM(AS64:AT64,AV64:AX64,BB62:BB63,BB65:BB67)</f>
        <v>5</v>
      </c>
      <c r="BK65" s="32">
        <f t="shared" ref="BK65" si="875">SUM(AS65:AU65,AW65:AX65,BC62:BC64,BC66:BC67)</f>
        <v>-5</v>
      </c>
      <c r="BL65" s="33">
        <f t="shared" ref="BL65" si="876">SUM(AS66:AV66,AX66,BD62:BD65,BD67)</f>
        <v>-9</v>
      </c>
      <c r="BM65" s="45"/>
      <c r="BO65" s="11" t="str">
        <f>L30</f>
        <v>Serbie</v>
      </c>
      <c r="BP65" s="12">
        <f>IF(OR(M30="-",M30=""),0,_xlfn.NUMBERVALUE(MID(M30,1,1)))</f>
        <v>1</v>
      </c>
      <c r="BQ65" s="13">
        <f>IF(OR(N30="-",N30=""),0,_xlfn.NUMBERVALUE(MID(N30,1,1)))</f>
        <v>1</v>
      </c>
      <c r="BR65" s="13">
        <f>IF(OR(O30="-",O30=""),0,_xlfn.NUMBERVALUE(MID(O30,1,1)))</f>
        <v>0</v>
      </c>
      <c r="BS65" s="27"/>
      <c r="BT65" s="14">
        <f>IF(OR(Q30="-",Q30=""),0,_xlfn.NUMBERVALUE(MID(Q30,1,1)))</f>
        <v>2</v>
      </c>
      <c r="BU65" s="77"/>
      <c r="BV65" s="18"/>
      <c r="BW65" s="31">
        <f>IF(OR(M30="-",M30=""),0,_xlfn.NUMBERVALUE(MID(M30,3,1)))</f>
        <v>3</v>
      </c>
      <c r="BX65" s="9">
        <f>IF(OR(N30="-",N30=""),0,_xlfn.NUMBERVALUE(MID(N30,3,1)))</f>
        <v>2</v>
      </c>
      <c r="BY65" s="9">
        <f>IF(OR(O30="-",O30=""),0,_xlfn.NUMBERVALUE(MID(O30,3,1)))</f>
        <v>3</v>
      </c>
      <c r="BZ65" s="27"/>
      <c r="CA65" s="10">
        <f>IF(OR(Q30="-",Q30=""),0,_xlfn.NUMBERVALUE(MID(Q30,3,1)))</f>
        <v>0</v>
      </c>
      <c r="CB65" s="77"/>
      <c r="CD65" s="11" t="s">
        <v>92</v>
      </c>
      <c r="CE65" s="22">
        <f>SUM(BW63:BW66)</f>
        <v>4</v>
      </c>
      <c r="CF65" s="13">
        <f>SUM(BX62,BX64:BX67)</f>
        <v>7</v>
      </c>
      <c r="CG65" s="13">
        <f>SUM(BY62:BY63,BY65:BY67)</f>
        <v>7</v>
      </c>
      <c r="CH65" s="13">
        <f>SUM(BZ62:BZ64,BZ66:BZ67)</f>
        <v>4</v>
      </c>
      <c r="CI65" s="14">
        <f>SUM(CA62:CA65,CA67)</f>
        <v>2</v>
      </c>
      <c r="CJ65" s="45"/>
      <c r="CL65" s="11" t="str">
        <f>L30</f>
        <v>Serbie</v>
      </c>
      <c r="CM65" s="12">
        <f t="shared" ref="CM65" si="877">-CP62</f>
        <v>-6</v>
      </c>
      <c r="CN65" s="13">
        <f t="shared" ref="CN65" si="878">-CP63</f>
        <v>-6</v>
      </c>
      <c r="CO65" s="37">
        <f t="shared" ref="CO65" si="879">-CP64</f>
        <v>0</v>
      </c>
      <c r="CP65" s="27"/>
      <c r="CQ65" s="41">
        <f t="shared" ref="CQ65" si="880">Z65+AF66-(Y66+AG65)</f>
        <v>3</v>
      </c>
      <c r="CR65" s="36"/>
      <c r="CT65" s="8" t="str">
        <f>L30</f>
        <v>Serbie</v>
      </c>
      <c r="CU65" s="51">
        <f>$DK65+0.01*CM65+0.0001*(BP65+BZ62)+0.000001*BZ62</f>
        <v>8.9400999999999993</v>
      </c>
      <c r="CV65" s="51">
        <f>$DK65+0.01*CN65+0.0001*(BQ65+BZ63)+0.000001*BZ63</f>
        <v>8.9402009999999983</v>
      </c>
      <c r="CW65" s="51">
        <f>$DK65+0.01*CO65+0.0001*(BR65+BZ64)+0.000001*BZ64</f>
        <v>9.0002019999999998</v>
      </c>
      <c r="CX65" s="47"/>
      <c r="CY65" s="52">
        <f>$DK65+0.01*CQ65+0.0001*(BT65+BZ66)+0.000001*BZ66</f>
        <v>9.0303009999999979</v>
      </c>
      <c r="CZ65" s="50"/>
      <c r="DB65" s="19" t="str">
        <f t="shared" si="844"/>
        <v>Serbie</v>
      </c>
      <c r="DC65" s="3" t="str">
        <f>IF(CY65&gt;=CX66,CT65,CT66)</f>
        <v>Serbie</v>
      </c>
      <c r="DJ65" s="63" t="str">
        <f>L30</f>
        <v>Serbie</v>
      </c>
      <c r="DK65" s="66">
        <f t="shared" ref="DK65" si="881">AN64</f>
        <v>9</v>
      </c>
      <c r="DL65" s="73">
        <f>COUNTIF(DC62:DG66,L30)</f>
        <v>1</v>
      </c>
      <c r="DM65" s="11" t="str">
        <f>L30</f>
        <v>Serbie</v>
      </c>
      <c r="DO65" s="11">
        <v>4</v>
      </c>
      <c r="DP65" s="69" t="str">
        <f>VLOOKUP(1,DL62:DM66,2,FALSE)</f>
        <v>Serbie</v>
      </c>
      <c r="DQ65" s="11">
        <v>4</v>
      </c>
      <c r="DR65" s="11">
        <f t="shared" ref="DR65" si="882">VLOOKUP(DP65,U62:AB67,8,FALSE)</f>
        <v>4</v>
      </c>
    </row>
    <row r="66" spans="21:122" ht="15.75" customHeight="1" thickBot="1" x14ac:dyDescent="0.3">
      <c r="U66" s="11" t="str">
        <f t="shared" si="831"/>
        <v>Arménie</v>
      </c>
      <c r="V66" s="12">
        <f>IF(OR(M31="-",M31=""),0,IF(MID(M31,1,1)&gt;MID(M31,3,1),3,        IF(MID(M31,1,1)=MID(M31,3,1),1,         IF(MID(M31,1,1)&lt;MID(M31,3,1),0)        )))</f>
        <v>1</v>
      </c>
      <c r="W66" s="13">
        <f>IF(OR(N31="-",N31=""),0,IF(MID(N31,1,1)&gt;MID(N31,3,1),3,        IF(MID(N31,1,1)=MID(N31,3,1),1,         IF(MID(N31,1,1)&lt;MID(N31,3,1),0)        )))</f>
        <v>0</v>
      </c>
      <c r="X66" s="13">
        <f>IF(OR(O31="-",O31=""),0,IF(MID(O31,1,1)&gt;MID(O31,3,1),3,        IF(MID(O31,1,1)=MID(O31,3,1),1,         IF(MID(O31,1,1)&lt;MID(O31,3,1),0)        )))</f>
        <v>0</v>
      </c>
      <c r="Y66" s="13">
        <f>IF(OR(P31="-",P31=""),0,IF(MID(P31,1,1)&gt;MID(P31,3,1),3,        IF(MID(P31,1,1)=MID(P31,3,1),1,         IF(MID(P31,1,1)&lt;MID(P31,3,1),0)        )))</f>
        <v>1</v>
      </c>
      <c r="Z66" s="27"/>
      <c r="AA66" s="14">
        <f>IF(OR(R31="-",R31=""),0,IF(MID(R31,1,1)&gt;MID(R31,3,1),3,        IF(MID(R31,1,1)=MID(R31,3,1),1,         IF(MID(R31,1,1)&lt;MID(R31,3,1),0)        )))</f>
        <v>0</v>
      </c>
      <c r="AB66" s="3">
        <v>5</v>
      </c>
      <c r="AC66" s="22">
        <f>IF(OR(M31="-",M31=""),0,IF(MID(M31,3,1)&gt;MID(M31,1,1),3,        IF(MID(M31,3,1)=MID(M31,1,1),1,         IF(MID(M31,3,1)&lt;MID(M31,1,1),0)        )))</f>
        <v>1</v>
      </c>
      <c r="AD66" s="13">
        <f>IF(OR(N31="-",N31=""),0,IF(MID(N31,3,1)&gt;MID(N31,1,1),3,        IF(MID(N31,3,1)=MID(N31,1,1),1,         IF(MID(N31,3,1)&lt;MID(N31,1,1),0)        )))</f>
        <v>3</v>
      </c>
      <c r="AE66" s="13">
        <f>IF(OR(O31="-",O31=""),0,IF(MID(O31,3,1)&gt;MID(O31,1,1),3,        IF(MID(O31,3,1)=MID(O31,1,1),1,         IF(MID(O31,3,1)&lt;MID(O31,1,1),0)        )))</f>
        <v>3</v>
      </c>
      <c r="AF66" s="13">
        <f>IF(OR(P31="-",P31=""),0,IF(MID(P31,3,1)&gt;MID(P31,1,1),3,        IF(MID(P31,3,1)=MID(P31,1,1),1,         IF(MID(P31,3,1)&lt;MID(P31,1,1),0)        )))</f>
        <v>1</v>
      </c>
      <c r="AG66" s="27"/>
      <c r="AH66" s="14">
        <f>IF(OR(R31="-",R31=""),0,IF(MID(R31,3,1)&gt;MID(R31,1,1),3,        IF(MID(R31,3,1)=MID(R31,1,1),1,         IF(MID(R31,3,1)&lt;MID(R31,1,1),0)        )))</f>
        <v>3</v>
      </c>
      <c r="AI66" s="36"/>
      <c r="AJ66" s="77"/>
      <c r="AR66" s="15" t="str">
        <f>L31</f>
        <v>Arménie</v>
      </c>
      <c r="AS66" s="16">
        <f t="shared" si="848"/>
        <v>0</v>
      </c>
      <c r="AT66" s="16">
        <f t="shared" si="862"/>
        <v>-1</v>
      </c>
      <c r="AU66" s="16">
        <f t="shared" si="870"/>
        <v>-3</v>
      </c>
      <c r="AV66" s="16">
        <f t="shared" ref="AV66" si="883">BS66-BZ66</f>
        <v>0</v>
      </c>
      <c r="AW66" s="82"/>
      <c r="AX66" s="77"/>
      <c r="AY66" s="45"/>
      <c r="AZ66" s="23">
        <f t="shared" si="849"/>
        <v>0</v>
      </c>
      <c r="BA66" s="17">
        <f t="shared" si="863"/>
        <v>1</v>
      </c>
      <c r="BB66" s="17">
        <f t="shared" si="871"/>
        <v>3</v>
      </c>
      <c r="BC66" s="17">
        <f t="shared" ref="BC66" si="884">BZ66-BS66</f>
        <v>0</v>
      </c>
      <c r="BD66" s="28"/>
      <c r="BE66" s="77"/>
      <c r="BF66" s="77"/>
      <c r="BG66" s="45"/>
      <c r="BH66" s="45"/>
      <c r="BI66" s="45"/>
      <c r="BJ66" s="45"/>
      <c r="BK66" s="45"/>
      <c r="BL66" s="45"/>
      <c r="BM66" s="45"/>
      <c r="BO66" s="15" t="str">
        <f>L31</f>
        <v>Arménie</v>
      </c>
      <c r="BP66" s="16">
        <f>IF(OR(M31="-",M31=""),0,_xlfn.NUMBERVALUE(MID(M31,1,1)))</f>
        <v>0</v>
      </c>
      <c r="BQ66" s="17">
        <f>IF(OR(N31="-",N31=""),0,_xlfn.NUMBERVALUE(MID(N31,1,1)))</f>
        <v>2</v>
      </c>
      <c r="BR66" s="17">
        <f>IF(OR(O31="-",O31=""),0,_xlfn.NUMBERVALUE(MID(O31,1,1)))</f>
        <v>0</v>
      </c>
      <c r="BS66" s="17">
        <f>IF(OR(P31="-",P31=""),0,_xlfn.NUMBERVALUE(MID(P31,1,1)))</f>
        <v>1</v>
      </c>
      <c r="BT66" s="28"/>
      <c r="BU66" s="77"/>
      <c r="BV66" s="18"/>
      <c r="BW66" s="34">
        <f>IF(OR(M31="-",M31=""),0,_xlfn.NUMBERVALUE(MID(M31,3,1)))</f>
        <v>0</v>
      </c>
      <c r="BX66" s="32">
        <f>IF(OR(N31="-",N31=""),0,_xlfn.NUMBERVALUE(MID(N31,3,1)))</f>
        <v>3</v>
      </c>
      <c r="BY66" s="32">
        <f>IF(OR(O31="-",O31=""),0,_xlfn.NUMBERVALUE(MID(O31,3,1)))</f>
        <v>3</v>
      </c>
      <c r="BZ66" s="32">
        <f>IF(OR(P31="-",P31=""),0,_xlfn.NUMBERVALUE(MID(P31,3,1)))</f>
        <v>1</v>
      </c>
      <c r="CA66" s="28"/>
      <c r="CB66" s="77"/>
      <c r="CD66" s="15" t="s">
        <v>93</v>
      </c>
      <c r="CE66" s="23">
        <f t="shared" ref="CE66" si="885">SUM(CE64,CE65)</f>
        <v>8</v>
      </c>
      <c r="CF66" s="17">
        <f t="shared" ref="CF66" si="886">SUM(CF64,CF65)</f>
        <v>11</v>
      </c>
      <c r="CG66" s="17">
        <f t="shared" ref="CG66" si="887">SUM(CG64,CG65)</f>
        <v>10</v>
      </c>
      <c r="CH66" s="17">
        <f t="shared" ref="CH66" si="888">SUM(CH64,CH65)</f>
        <v>8</v>
      </c>
      <c r="CI66" s="24">
        <f t="shared" ref="CI66" si="889">SUM(CI64,CI65)</f>
        <v>5</v>
      </c>
      <c r="CL66" s="15" t="str">
        <f>L31</f>
        <v>Arménie</v>
      </c>
      <c r="CM66" s="16">
        <f t="shared" ref="CM66" si="890">-CQ62</f>
        <v>-3</v>
      </c>
      <c r="CN66" s="42">
        <f t="shared" ref="CN66" si="891">-CQ63</f>
        <v>-6</v>
      </c>
      <c r="CO66" s="42">
        <f t="shared" ref="CO66" si="892">-CQ64</f>
        <v>-6</v>
      </c>
      <c r="CP66" s="42">
        <f t="shared" ref="CP66" si="893">-CQ65</f>
        <v>-3</v>
      </c>
      <c r="CQ66" s="28"/>
      <c r="CR66" s="36"/>
      <c r="CT66" s="19" t="str">
        <f>L31</f>
        <v>Arménie</v>
      </c>
      <c r="CU66" s="53">
        <f>$DK66+0.01*CM66+0.0001*(BP66+CA62)+0.000001*CA62</f>
        <v>2.9701010000000005</v>
      </c>
      <c r="CV66" s="53">
        <f>$DK66+0.01*CN66+0.0001*(BQ66+CA63)+0.000001*CA63</f>
        <v>2.9401999999999999</v>
      </c>
      <c r="CW66" s="53">
        <f>$DK66+0.01*CO66+0.0001*(BR66+CA64)+0.000001*CA64</f>
        <v>2.9401010000000003</v>
      </c>
      <c r="CX66" s="53">
        <f>$DK66+0.01*CP66+0.0001*(BS66+CA65)+0.000001*CA65</f>
        <v>2.9701000000000004</v>
      </c>
      <c r="CY66" s="54"/>
      <c r="CZ66" s="50"/>
      <c r="DB66" s="45"/>
      <c r="DJ66" s="64" t="str">
        <f>L31</f>
        <v>Arménie</v>
      </c>
      <c r="DK66" s="67">
        <f t="shared" ref="DK66" si="894">AO64</f>
        <v>3</v>
      </c>
      <c r="DL66" s="74">
        <f>COUNTIF(DC62:DG66,L31)</f>
        <v>0</v>
      </c>
      <c r="DM66" s="15" t="str">
        <f>L31</f>
        <v>Arménie</v>
      </c>
      <c r="DO66" s="15">
        <v>5</v>
      </c>
      <c r="DP66" s="70" t="str">
        <f>VLOOKUP(0,DL62:DM66,2,FALSE)</f>
        <v>Arménie</v>
      </c>
      <c r="DQ66" s="15">
        <v>5</v>
      </c>
      <c r="DR66" s="15">
        <f t="shared" ref="DR66" si="895">VLOOKUP(DP66,U62:AB67,8,FALSE)</f>
        <v>5</v>
      </c>
    </row>
    <row r="67" spans="21:122" ht="15.75" customHeight="1" thickBot="1" x14ac:dyDescent="0.3">
      <c r="U67" s="15" t="str">
        <f t="shared" si="831"/>
        <v>France</v>
      </c>
      <c r="V67" s="16">
        <f>IF(OR(M32="-",M32=""),0,IF(MID(M32,1,1)&gt;MID(M32,3,1),3,        IF(MID(M32,1,1)=MID(M32,3,1),1,         IF(MID(M32,1,1)&lt;MID(M32,3,1),0)        )))</f>
        <v>1</v>
      </c>
      <c r="W67" s="17">
        <f>IF(OR(N32="-",N32=""),0,IF(MID(N32,1,1)&gt;MID(N32,3,1),3,        IF(MID(N32,1,1)=MID(N32,3,1),1,         IF(MID(N32,1,1)&lt;MID(N32,3,1),0)        )))</f>
        <v>3</v>
      </c>
      <c r="X67" s="17">
        <f>IF(OR(O32="-",O32=""),0,IF(MID(O32,1,1)&gt;MID(O32,3,1),3,        IF(MID(O32,1,1)=MID(O32,3,1),1,         IF(MID(O32,1,1)&lt;MID(O32,3,1),0)        )))</f>
        <v>1</v>
      </c>
      <c r="Y67" s="17">
        <f>IF(OR(P32="-",P32=""),0,IF(MID(P32,1,1)&gt;MID(P32,3,1),3,        IF(MID(P32,1,1)=MID(P32,3,1),1,         IF(MID(P32,1,1)&lt;MID(P32,3,1),0)        )))</f>
        <v>1</v>
      </c>
      <c r="Z67" s="17">
        <f>IF(OR(Q32="-",Q32=""),0,IF(MID(Q32,1,1)&gt;MID(Q32,3,1),3,        IF(MID(Q32,1,1)=MID(Q32,3,1),1,         IF(MID(Q32,1,1)&lt;MID(Q32,3,1),0)        )))</f>
        <v>1</v>
      </c>
      <c r="AA67" s="28"/>
      <c r="AB67" s="3">
        <v>6</v>
      </c>
      <c r="AC67" s="23">
        <f>IF(OR(M32="-",M32=""),0,IF(MID(M32,3,1)&gt;MID(M32,1,1),3,        IF(MID(M32,3,1)=MID(M32,1,1),1,         IF(MID(M32,3,1)&lt;MID(M32,1,1),0)        )))</f>
        <v>1</v>
      </c>
      <c r="AD67" s="17">
        <f>IF(OR(N32="-",N32=""),0,IF(MID(N32,3,1)&gt;MID(N32,1,1),3,        IF(MID(N32,3,1)=MID(N32,1,1),1,         IF(MID(N32,3,1)&lt;MID(N32,1,1),0)        )))</f>
        <v>0</v>
      </c>
      <c r="AE67" s="17">
        <f>IF(OR(O32="-",O32=""),0,IF(MID(O32,3,1)&gt;MID(O32,1,1),3,        IF(MID(O32,3,1)=MID(O32,1,1),1,         IF(MID(O32,3,1)&lt;MID(O32,1,1),0)        )))</f>
        <v>1</v>
      </c>
      <c r="AF67" s="17">
        <f>IF(OR(P32="-",P32=""),0,IF(MID(P32,3,1)&gt;MID(P32,1,1),3,        IF(MID(P32,3,1)=MID(P32,1,1),1,         IF(MID(P32,3,1)&lt;MID(P32,1,1),0)        )))</f>
        <v>1</v>
      </c>
      <c r="AG67" s="17">
        <f>IF(OR(Q32="-",Q32=""),0,IF(MID(Q32,3,1)&gt;MID(Q32,1,1),3,        IF(MID(Q32,3,1)=MID(Q32,1,1),1,         IF(MID(Q32,3,1)&lt;MID(Q32,1,1),0)        )))</f>
        <v>1</v>
      </c>
      <c r="AH67" s="28"/>
      <c r="AI67" s="36"/>
      <c r="AJ67" s="77"/>
      <c r="AR67" s="45"/>
      <c r="AS67" s="45"/>
      <c r="AT67" s="45"/>
      <c r="AU67" s="45"/>
      <c r="AV67" s="45"/>
      <c r="AW67" s="45"/>
      <c r="AX67" s="77"/>
      <c r="AY67" s="45"/>
      <c r="AZ67" s="77"/>
      <c r="BA67" s="77"/>
      <c r="BB67" s="77"/>
      <c r="BC67" s="77"/>
      <c r="BD67" s="77"/>
      <c r="BE67" s="77"/>
      <c r="BF67" s="77"/>
      <c r="BG67" s="77"/>
      <c r="BI67" s="77"/>
      <c r="BK67" s="77"/>
      <c r="BM67" s="77"/>
      <c r="BO67" s="77"/>
      <c r="BP67" s="77"/>
      <c r="BQ67" s="77"/>
      <c r="BR67" s="77"/>
      <c r="BS67" s="77"/>
      <c r="BT67" s="77"/>
      <c r="BU67" s="77"/>
      <c r="BV67" s="45"/>
      <c r="BW67" s="77"/>
      <c r="BX67" s="77"/>
      <c r="BY67" s="77"/>
      <c r="BZ67" s="77"/>
      <c r="CA67" s="77"/>
      <c r="CB67" s="77"/>
      <c r="CT67" s="18"/>
      <c r="CU67" s="18"/>
      <c r="CV67" s="18"/>
      <c r="CW67" s="18"/>
      <c r="CX67" s="18"/>
      <c r="CY67" s="18"/>
      <c r="CZ67" s="18"/>
      <c r="DJ67" s="45"/>
      <c r="DK67" s="43"/>
      <c r="DM67" s="45"/>
      <c r="DO67" s="45"/>
      <c r="DP67" s="45"/>
      <c r="DQ67" s="45"/>
      <c r="DR67" s="45"/>
    </row>
    <row r="68" spans="21:122" ht="15.75" customHeight="1" x14ac:dyDescent="0.25">
      <c r="AJ68" s="43"/>
      <c r="AK68" s="43"/>
      <c r="AL68" s="43"/>
      <c r="AM68" s="43"/>
      <c r="AN68" s="43"/>
      <c r="AO68" s="43"/>
      <c r="AP68" s="43"/>
      <c r="CD68" s="36"/>
      <c r="CE68" s="36"/>
      <c r="CF68" s="36"/>
      <c r="CG68" s="36"/>
      <c r="CH68" s="36"/>
      <c r="CI68" s="36"/>
      <c r="CJ68" s="36"/>
      <c r="DJ68" s="43"/>
      <c r="DK68" s="43"/>
      <c r="DM68" s="45"/>
    </row>
    <row r="69" spans="21:122" ht="15.75" customHeight="1" x14ac:dyDescent="0.25">
      <c r="AJ69" s="43"/>
      <c r="AK69" s="43"/>
      <c r="AL69" s="43"/>
      <c r="AM69" s="43"/>
      <c r="AN69" s="43"/>
      <c r="AO69" s="43"/>
      <c r="AP69" s="43"/>
      <c r="CD69" s="36"/>
      <c r="CE69" s="544"/>
      <c r="CF69" s="544"/>
      <c r="CG69" s="544"/>
      <c r="CH69" s="544"/>
      <c r="CI69" s="544"/>
      <c r="CJ69" s="544"/>
      <c r="DJ69" s="43"/>
      <c r="DK69" s="43"/>
      <c r="DM69" s="45"/>
    </row>
    <row r="70" spans="21:122" ht="15.75" customHeight="1" x14ac:dyDescent="0.25">
      <c r="AJ70" s="43"/>
      <c r="AK70" s="43"/>
      <c r="AL70" s="43"/>
      <c r="AM70" s="43"/>
      <c r="AN70" s="43"/>
      <c r="AO70" s="43"/>
      <c r="AP70" s="43"/>
      <c r="CD70" s="36"/>
      <c r="CE70" s="36"/>
      <c r="CF70" s="36"/>
      <c r="CG70" s="36"/>
      <c r="CH70" s="36"/>
      <c r="CI70" s="36"/>
      <c r="CJ70" s="43"/>
      <c r="CK70" s="40"/>
      <c r="DJ70" s="43"/>
      <c r="DK70" s="43"/>
      <c r="DM70" s="45"/>
    </row>
    <row r="71" spans="21:122" ht="15.75" customHeight="1" x14ac:dyDescent="0.25">
      <c r="AJ71" s="43"/>
      <c r="AK71" s="43"/>
      <c r="AL71" s="43"/>
      <c r="AM71" s="43"/>
      <c r="AN71" s="43"/>
      <c r="AO71" s="43"/>
      <c r="AP71" s="43"/>
      <c r="CD71" s="36"/>
      <c r="CE71" s="44"/>
      <c r="CF71" s="36"/>
      <c r="CG71" s="36"/>
      <c r="CH71" s="36"/>
      <c r="CI71" s="36"/>
      <c r="CJ71" s="36"/>
      <c r="CK71" s="40"/>
      <c r="DJ71" s="43"/>
      <c r="DK71" s="43"/>
      <c r="DM71" s="45"/>
    </row>
    <row r="72" spans="21:122" ht="15.75" customHeight="1" x14ac:dyDescent="0.25">
      <c r="AJ72" s="43"/>
      <c r="AK72" s="43"/>
      <c r="AL72" s="43"/>
      <c r="AM72" s="43"/>
      <c r="AN72" s="43"/>
      <c r="AO72" s="43"/>
      <c r="AP72" s="43"/>
      <c r="CD72" s="36"/>
      <c r="CE72" s="36"/>
      <c r="CF72" s="36"/>
      <c r="CG72" s="36"/>
      <c r="CH72" s="36"/>
      <c r="CI72" s="36"/>
      <c r="CJ72" s="36"/>
      <c r="CK72" s="40"/>
      <c r="DJ72" s="43"/>
      <c r="DK72" s="43"/>
      <c r="DM72" s="45"/>
    </row>
    <row r="73" spans="21:122" ht="15.75" customHeight="1" x14ac:dyDescent="0.25">
      <c r="AJ73" s="43"/>
      <c r="AK73" s="43"/>
      <c r="AL73" s="43"/>
      <c r="AM73" s="43"/>
      <c r="AN73" s="43"/>
      <c r="AO73" s="43"/>
      <c r="AP73" s="43"/>
      <c r="CD73" s="36"/>
      <c r="CE73" s="36"/>
      <c r="CF73" s="36"/>
      <c r="CG73" s="36"/>
      <c r="CH73" s="36"/>
      <c r="CI73" s="36"/>
      <c r="CJ73" s="36"/>
      <c r="CK73" s="40"/>
      <c r="DJ73" s="43"/>
      <c r="DK73" s="43"/>
      <c r="DM73" s="45"/>
    </row>
    <row r="74" spans="21:122" ht="15.75" customHeight="1" x14ac:dyDescent="0.25">
      <c r="AJ74" s="43"/>
      <c r="AK74" s="43"/>
      <c r="AL74" s="43"/>
      <c r="AM74" s="43"/>
      <c r="AN74" s="43"/>
      <c r="AO74" s="43"/>
      <c r="AP74" s="43"/>
      <c r="CD74" s="36"/>
      <c r="CE74" s="36"/>
      <c r="CF74" s="36"/>
      <c r="CG74" s="36"/>
      <c r="CH74" s="36"/>
      <c r="CI74" s="36"/>
      <c r="CJ74" s="36"/>
      <c r="CK74" s="40"/>
      <c r="DJ74" s="43"/>
      <c r="DK74" s="43"/>
      <c r="DM74" s="45"/>
    </row>
    <row r="75" spans="21:122" ht="15.75" customHeight="1" x14ac:dyDescent="0.25">
      <c r="AJ75" s="43"/>
      <c r="AK75" s="43"/>
      <c r="AL75" s="43"/>
      <c r="AM75" s="43"/>
      <c r="AN75" s="43"/>
      <c r="AO75" s="43"/>
      <c r="AP75" s="43"/>
      <c r="CD75" s="77"/>
      <c r="CE75" s="77"/>
      <c r="CF75" s="77"/>
      <c r="CG75" s="77"/>
      <c r="CH75" s="77"/>
      <c r="CI75" s="77"/>
      <c r="CJ75" s="77"/>
      <c r="CK75" s="40"/>
      <c r="DJ75" s="43"/>
      <c r="DK75" s="43"/>
      <c r="DM75" s="45"/>
    </row>
    <row r="76" spans="21:122" s="3" customFormat="1" ht="15.75" customHeight="1" x14ac:dyDescent="0.25">
      <c r="AI76" s="40"/>
      <c r="AJ76" s="43"/>
      <c r="AK76" s="43"/>
      <c r="AL76" s="43"/>
      <c r="AM76" s="43"/>
      <c r="AN76" s="43"/>
      <c r="AO76" s="43"/>
      <c r="AP76" s="43"/>
      <c r="BF76" s="40"/>
      <c r="BG76" s="40"/>
      <c r="BI76" s="40"/>
      <c r="BK76" s="40"/>
      <c r="BM76" s="40"/>
      <c r="CD76" s="77"/>
      <c r="CE76" s="77"/>
      <c r="CF76" s="77"/>
      <c r="CG76" s="77"/>
      <c r="CH76" s="77"/>
      <c r="CI76" s="77"/>
      <c r="CJ76" s="77"/>
      <c r="CK76" s="40"/>
      <c r="DJ76" s="43"/>
      <c r="DK76" s="43"/>
      <c r="DM76" s="45"/>
    </row>
    <row r="77" spans="21:122" s="3" customFormat="1" ht="15.75" customHeight="1" x14ac:dyDescent="0.25">
      <c r="AI77" s="40"/>
      <c r="AJ77" s="43"/>
      <c r="AK77" s="43"/>
      <c r="AL77" s="43"/>
      <c r="AM77" s="43"/>
      <c r="AN77" s="43"/>
      <c r="AO77" s="43"/>
      <c r="AP77" s="43"/>
      <c r="BF77" s="40"/>
      <c r="BG77" s="40"/>
      <c r="BI77" s="40"/>
      <c r="BK77" s="40"/>
      <c r="BM77" s="40"/>
      <c r="CD77" s="77"/>
      <c r="CE77" s="544"/>
      <c r="CF77" s="544"/>
      <c r="CG77" s="544"/>
      <c r="CH77" s="544"/>
      <c r="CI77" s="544"/>
      <c r="CJ77" s="544"/>
      <c r="CK77" s="40"/>
      <c r="DJ77" s="43"/>
      <c r="DK77" s="43"/>
      <c r="DM77" s="45"/>
    </row>
    <row r="78" spans="21:122" s="3" customFormat="1" ht="15.75" customHeight="1" x14ac:dyDescent="0.25">
      <c r="AI78" s="40"/>
      <c r="AJ78" s="43"/>
      <c r="AK78" s="43"/>
      <c r="AL78" s="43"/>
      <c r="AM78" s="43"/>
      <c r="AN78" s="43"/>
      <c r="AO78" s="43"/>
      <c r="AP78" s="43"/>
      <c r="BF78" s="40"/>
      <c r="BG78" s="40"/>
      <c r="BI78" s="40"/>
      <c r="BK78" s="40"/>
      <c r="BM78" s="40"/>
      <c r="CD78" s="77"/>
      <c r="CE78" s="77"/>
      <c r="CF78" s="77"/>
      <c r="CG78" s="77"/>
      <c r="CH78" s="77"/>
      <c r="CI78" s="77"/>
      <c r="CJ78" s="77"/>
      <c r="CK78" s="40"/>
      <c r="DJ78" s="43"/>
      <c r="DK78" s="43"/>
      <c r="DM78" s="45"/>
    </row>
    <row r="79" spans="21:122" s="3" customFormat="1" ht="15.75" customHeight="1" x14ac:dyDescent="0.25">
      <c r="AI79" s="40"/>
      <c r="AJ79" s="43"/>
      <c r="AK79" s="43"/>
      <c r="AL79" s="43"/>
      <c r="AM79" s="43"/>
      <c r="AN79" s="43"/>
      <c r="AO79" s="43"/>
      <c r="AP79" s="43"/>
      <c r="BF79" s="40"/>
      <c r="BG79" s="40"/>
      <c r="BI79" s="40"/>
      <c r="BK79" s="40"/>
      <c r="BM79" s="40"/>
      <c r="CD79" s="77"/>
      <c r="CE79" s="44"/>
      <c r="CF79" s="77"/>
      <c r="CG79" s="77"/>
      <c r="CH79" s="77"/>
      <c r="CI79" s="77"/>
      <c r="CJ79" s="77"/>
      <c r="CK79" s="40"/>
      <c r="DJ79" s="43"/>
      <c r="DK79" s="43"/>
      <c r="DM79" s="45"/>
    </row>
    <row r="80" spans="21:122" s="3" customFormat="1" ht="15.75" customHeight="1" x14ac:dyDescent="0.25">
      <c r="AI80" s="40"/>
      <c r="AJ80" s="43"/>
      <c r="AK80" s="43"/>
      <c r="AL80" s="43"/>
      <c r="AM80" s="43"/>
      <c r="AN80" s="43"/>
      <c r="AO80" s="43"/>
      <c r="AP80" s="43"/>
      <c r="BF80" s="40"/>
      <c r="BG80" s="40"/>
      <c r="BI80" s="40"/>
      <c r="BK80" s="40"/>
      <c r="BM80" s="40"/>
      <c r="CD80" s="77"/>
      <c r="CE80" s="77"/>
      <c r="CF80" s="77"/>
      <c r="CG80" s="77"/>
      <c r="CH80" s="77"/>
      <c r="CI80" s="77"/>
      <c r="CJ80" s="77"/>
      <c r="CK80" s="40"/>
      <c r="DJ80" s="43"/>
      <c r="DK80" s="43"/>
      <c r="DM80" s="45"/>
    </row>
    <row r="81" spans="35:117" s="3" customFormat="1" ht="15.75" customHeight="1" x14ac:dyDescent="0.25">
      <c r="AI81" s="40"/>
      <c r="AJ81" s="43"/>
      <c r="AK81" s="43"/>
      <c r="AL81" s="43"/>
      <c r="AM81" s="43"/>
      <c r="AN81" s="43"/>
      <c r="AO81" s="43"/>
      <c r="AP81" s="43"/>
      <c r="BF81" s="40"/>
      <c r="BG81" s="40"/>
      <c r="BI81" s="40"/>
      <c r="BK81" s="40"/>
      <c r="BM81" s="40"/>
      <c r="CD81" s="77"/>
      <c r="CE81" s="77"/>
      <c r="CF81" s="77"/>
      <c r="CG81" s="77"/>
      <c r="CH81" s="77"/>
      <c r="CI81" s="77"/>
      <c r="CJ81" s="77"/>
      <c r="CK81" s="40"/>
      <c r="DJ81" s="43"/>
      <c r="DK81" s="43"/>
      <c r="DM81" s="45"/>
    </row>
    <row r="82" spans="35:117" s="3" customFormat="1" ht="15.75" customHeight="1" x14ac:dyDescent="0.25">
      <c r="AI82" s="40"/>
      <c r="AJ82" s="43"/>
      <c r="AK82" s="43"/>
      <c r="AL82" s="43"/>
      <c r="AM82" s="43"/>
      <c r="AN82" s="43"/>
      <c r="AO82" s="43"/>
      <c r="AP82" s="43"/>
      <c r="BF82" s="40"/>
      <c r="BG82" s="40"/>
      <c r="BI82" s="40"/>
      <c r="BK82" s="40"/>
      <c r="BM82" s="40"/>
      <c r="CD82" s="77"/>
      <c r="CE82" s="77"/>
      <c r="CF82" s="77"/>
      <c r="CG82" s="77"/>
      <c r="CH82" s="77"/>
      <c r="CI82" s="77"/>
      <c r="CJ82" s="77"/>
      <c r="CK82" s="40"/>
      <c r="DJ82" s="43"/>
      <c r="DK82" s="43"/>
      <c r="DM82" s="45"/>
    </row>
    <row r="83" spans="35:117" s="3" customFormat="1" ht="15.75" customHeight="1" x14ac:dyDescent="0.25">
      <c r="AI83" s="40"/>
      <c r="AJ83" s="43"/>
      <c r="AK83" s="43"/>
      <c r="AL83" s="43"/>
      <c r="AM83" s="43"/>
      <c r="AN83" s="43"/>
      <c r="AO83" s="43"/>
      <c r="AP83" s="43"/>
      <c r="BF83" s="40"/>
      <c r="BG83" s="40"/>
      <c r="BI83" s="40"/>
      <c r="BK83" s="40"/>
      <c r="BM83" s="40"/>
      <c r="CD83" s="77"/>
      <c r="CE83" s="77"/>
      <c r="CF83" s="77"/>
      <c r="CG83" s="77"/>
      <c r="CH83" s="77"/>
      <c r="CI83" s="77"/>
      <c r="CJ83" s="77"/>
      <c r="CK83" s="40"/>
      <c r="DJ83" s="43"/>
      <c r="DK83" s="43"/>
      <c r="DM83" s="45"/>
    </row>
    <row r="84" spans="35:117" s="3" customFormat="1" ht="15.75" customHeight="1" x14ac:dyDescent="0.25">
      <c r="AI84" s="40"/>
      <c r="AJ84" s="43"/>
      <c r="AK84" s="43"/>
      <c r="AL84" s="43"/>
      <c r="AM84" s="43"/>
      <c r="AN84" s="43"/>
      <c r="AO84" s="43"/>
      <c r="AP84" s="43"/>
      <c r="BF84" s="40"/>
      <c r="BG84" s="40"/>
      <c r="BI84" s="40"/>
      <c r="BK84" s="40"/>
      <c r="BM84" s="40"/>
      <c r="CD84" s="77"/>
      <c r="CE84" s="544"/>
      <c r="CF84" s="544"/>
      <c r="CG84" s="544"/>
      <c r="CH84" s="544"/>
      <c r="CI84" s="544"/>
      <c r="CJ84" s="544"/>
      <c r="CK84" s="40"/>
      <c r="DJ84" s="43"/>
      <c r="DK84" s="43"/>
      <c r="DM84" s="45"/>
    </row>
    <row r="85" spans="35:117" s="3" customFormat="1" ht="15.75" customHeight="1" x14ac:dyDescent="0.25">
      <c r="AI85" s="40"/>
      <c r="AJ85" s="43"/>
      <c r="AK85" s="43"/>
      <c r="AL85" s="43"/>
      <c r="AM85" s="43"/>
      <c r="AN85" s="43"/>
      <c r="AO85" s="43"/>
      <c r="AP85" s="43"/>
      <c r="BF85" s="40"/>
      <c r="BG85" s="40"/>
      <c r="BI85" s="40"/>
      <c r="BK85" s="40"/>
      <c r="BM85" s="40"/>
      <c r="CD85" s="77"/>
      <c r="CE85" s="77"/>
      <c r="CF85" s="77"/>
      <c r="CG85" s="77"/>
      <c r="CH85" s="77"/>
      <c r="CI85" s="77"/>
      <c r="CJ85" s="77"/>
      <c r="CK85" s="40"/>
      <c r="DJ85" s="43"/>
      <c r="DK85" s="43"/>
      <c r="DM85" s="45"/>
    </row>
    <row r="86" spans="35:117" s="3" customFormat="1" ht="15.75" customHeight="1" x14ac:dyDescent="0.25">
      <c r="AI86" s="40"/>
      <c r="AJ86" s="43"/>
      <c r="AK86" s="43"/>
      <c r="AL86" s="43"/>
      <c r="AM86" s="43"/>
      <c r="AN86" s="43"/>
      <c r="AO86" s="43"/>
      <c r="AP86" s="43"/>
      <c r="BF86" s="40"/>
      <c r="BG86" s="40"/>
      <c r="BI86" s="40"/>
      <c r="BK86" s="40"/>
      <c r="BM86" s="40"/>
      <c r="CD86" s="77"/>
      <c r="CE86" s="44"/>
      <c r="CF86" s="77"/>
      <c r="CG86" s="77"/>
      <c r="CH86" s="77"/>
      <c r="CI86" s="77"/>
      <c r="CJ86" s="77"/>
      <c r="CK86" s="40"/>
      <c r="DJ86" s="43"/>
      <c r="DK86" s="43"/>
      <c r="DM86" s="45"/>
    </row>
    <row r="87" spans="35:117" s="3" customFormat="1" ht="15.75" customHeight="1" x14ac:dyDescent="0.25">
      <c r="AI87" s="40"/>
      <c r="AJ87" s="43"/>
      <c r="AK87" s="43"/>
      <c r="AL87" s="43"/>
      <c r="AM87" s="43"/>
      <c r="AN87" s="43"/>
      <c r="AO87" s="43"/>
      <c r="AP87" s="43"/>
      <c r="BF87" s="40"/>
      <c r="BG87" s="40"/>
      <c r="BI87" s="40"/>
      <c r="BK87" s="40"/>
      <c r="BM87" s="40"/>
      <c r="CD87" s="77"/>
      <c r="CE87" s="77"/>
      <c r="CF87" s="77"/>
      <c r="CG87" s="77"/>
      <c r="CH87" s="77"/>
      <c r="CI87" s="77"/>
      <c r="CJ87" s="77"/>
      <c r="CK87" s="40"/>
      <c r="DJ87" s="43"/>
      <c r="DK87" s="43"/>
      <c r="DM87" s="45"/>
    </row>
    <row r="88" spans="35:117" s="3" customFormat="1" ht="15.75" customHeight="1" x14ac:dyDescent="0.25">
      <c r="AI88" s="40"/>
      <c r="AJ88" s="43"/>
      <c r="AK88" s="43"/>
      <c r="AL88" s="43"/>
      <c r="AM88" s="43"/>
      <c r="AN88" s="43"/>
      <c r="AO88" s="43"/>
      <c r="AP88" s="43"/>
      <c r="BF88" s="40"/>
      <c r="BG88" s="40"/>
      <c r="BI88" s="40"/>
      <c r="BK88" s="40"/>
      <c r="BM88" s="40"/>
      <c r="CD88" s="77"/>
      <c r="CE88" s="77"/>
      <c r="CF88" s="77"/>
      <c r="CG88" s="77"/>
      <c r="CH88" s="77"/>
      <c r="CI88" s="77"/>
      <c r="CJ88" s="77"/>
      <c r="CK88" s="40"/>
      <c r="DJ88" s="43"/>
      <c r="DK88" s="43"/>
      <c r="DM88" s="45"/>
    </row>
    <row r="89" spans="35:117" s="3" customFormat="1" ht="15.75" customHeight="1" x14ac:dyDescent="0.25">
      <c r="AI89" s="40"/>
      <c r="AJ89" s="43"/>
      <c r="AK89" s="43"/>
      <c r="AL89" s="43"/>
      <c r="AM89" s="43"/>
      <c r="AN89" s="43"/>
      <c r="AO89" s="43"/>
      <c r="AP89" s="43"/>
      <c r="BF89" s="40"/>
      <c r="BG89" s="40"/>
      <c r="BI89" s="40"/>
      <c r="BK89" s="40"/>
      <c r="BM89" s="40"/>
      <c r="CD89" s="77"/>
      <c r="CE89" s="77"/>
      <c r="CF89" s="77"/>
      <c r="CG89" s="77"/>
      <c r="CH89" s="77"/>
      <c r="CI89" s="77"/>
      <c r="CJ89" s="77"/>
      <c r="CK89" s="40"/>
      <c r="DJ89" s="43"/>
      <c r="DK89" s="43"/>
      <c r="DM89" s="45"/>
    </row>
    <row r="90" spans="35:117" s="3" customFormat="1" ht="15.75" customHeight="1" x14ac:dyDescent="0.25">
      <c r="AI90" s="40"/>
      <c r="AJ90" s="43"/>
      <c r="AK90" s="43"/>
      <c r="AL90" s="43"/>
      <c r="AM90" s="43"/>
      <c r="AN90" s="43"/>
      <c r="AO90" s="43"/>
      <c r="AP90" s="43"/>
      <c r="BF90" s="40"/>
      <c r="BG90" s="40"/>
      <c r="BI90" s="40"/>
      <c r="BK90" s="40"/>
      <c r="BM90" s="40"/>
      <c r="CD90" s="77"/>
      <c r="CE90" s="77"/>
      <c r="CF90" s="77"/>
      <c r="CG90" s="77"/>
      <c r="CH90" s="77"/>
      <c r="CI90" s="77"/>
      <c r="CJ90" s="77"/>
      <c r="CK90" s="40"/>
      <c r="DJ90" s="43"/>
      <c r="DK90" s="43"/>
      <c r="DM90" s="45"/>
    </row>
    <row r="91" spans="35:117" s="3" customFormat="1" ht="15.75" customHeight="1" x14ac:dyDescent="0.25">
      <c r="AI91" s="40"/>
      <c r="AJ91" s="43"/>
      <c r="AK91" s="43"/>
      <c r="AL91" s="43"/>
      <c r="AM91" s="43"/>
      <c r="AN91" s="43"/>
      <c r="AO91" s="43"/>
      <c r="AP91" s="43"/>
      <c r="BF91" s="40"/>
      <c r="BG91" s="40"/>
      <c r="BI91" s="40"/>
      <c r="BK91" s="40"/>
      <c r="BM91" s="40"/>
      <c r="CD91" s="40"/>
      <c r="CE91" s="40"/>
      <c r="CF91" s="40"/>
      <c r="CG91" s="40"/>
      <c r="CH91" s="40"/>
      <c r="CI91" s="40"/>
      <c r="CJ91" s="40"/>
      <c r="CK91" s="40"/>
      <c r="DJ91" s="43"/>
      <c r="DK91" s="43"/>
      <c r="DM91" s="45"/>
    </row>
    <row r="92" spans="35:117" s="3" customFormat="1" ht="15.75" customHeight="1" x14ac:dyDescent="0.25">
      <c r="AI92" s="40"/>
      <c r="AJ92" s="43"/>
      <c r="AK92" s="43"/>
      <c r="AL92" s="43"/>
      <c r="AM92" s="43"/>
      <c r="AN92" s="43"/>
      <c r="AO92" s="43"/>
      <c r="AP92" s="43"/>
      <c r="BF92" s="40"/>
      <c r="BG92" s="40"/>
      <c r="BI92" s="40"/>
      <c r="BK92" s="40"/>
      <c r="BM92" s="40"/>
      <c r="CD92" s="40"/>
      <c r="CE92" s="40"/>
      <c r="CF92" s="40"/>
      <c r="CG92" s="40"/>
      <c r="CH92" s="40"/>
      <c r="CI92" s="40"/>
      <c r="CJ92" s="40"/>
      <c r="CK92" s="40"/>
      <c r="DJ92" s="43"/>
      <c r="DK92" s="43"/>
      <c r="DM92" s="45"/>
    </row>
    <row r="93" spans="35:117" s="3" customFormat="1" ht="15.75" customHeight="1" x14ac:dyDescent="0.25">
      <c r="AI93" s="40"/>
      <c r="AJ93" s="43"/>
      <c r="AK93" s="43"/>
      <c r="AL93" s="43"/>
      <c r="AM93" s="43"/>
      <c r="AN93" s="43"/>
      <c r="AO93" s="43"/>
      <c r="AP93" s="43"/>
      <c r="BF93" s="40"/>
      <c r="BG93" s="40"/>
      <c r="BI93" s="40"/>
      <c r="BK93" s="40"/>
      <c r="BM93" s="40"/>
      <c r="CD93" s="40"/>
      <c r="CE93" s="40"/>
      <c r="CF93" s="40"/>
      <c r="CG93" s="40"/>
      <c r="CH93" s="40"/>
      <c r="CI93" s="40"/>
      <c r="CJ93" s="40"/>
      <c r="CK93" s="40"/>
      <c r="DJ93" s="43"/>
      <c r="DK93" s="43"/>
      <c r="DM93" s="45"/>
    </row>
    <row r="94" spans="35:117" s="3" customFormat="1" ht="15.75" customHeight="1" x14ac:dyDescent="0.25">
      <c r="AI94" s="40"/>
      <c r="AJ94" s="43"/>
      <c r="AK94" s="43"/>
      <c r="AL94" s="43"/>
      <c r="AM94" s="43"/>
      <c r="AN94" s="43"/>
      <c r="AO94" s="43"/>
      <c r="AP94" s="43"/>
      <c r="BF94" s="40"/>
      <c r="BG94" s="40"/>
      <c r="BI94" s="40"/>
      <c r="BK94" s="40"/>
      <c r="BM94" s="40"/>
      <c r="CD94" s="40"/>
      <c r="CE94" s="40"/>
      <c r="CF94" s="40"/>
      <c r="CG94" s="40"/>
      <c r="CH94" s="40"/>
      <c r="CI94" s="40"/>
      <c r="CJ94" s="40"/>
      <c r="CK94" s="40"/>
      <c r="DJ94" s="43"/>
      <c r="DK94" s="43"/>
      <c r="DM94" s="45"/>
    </row>
    <row r="95" spans="35:117" s="3" customFormat="1" ht="15.75" customHeight="1" x14ac:dyDescent="0.25">
      <c r="AI95" s="40"/>
      <c r="AJ95" s="43"/>
      <c r="AK95" s="43"/>
      <c r="AL95" s="43"/>
      <c r="AM95" s="43"/>
      <c r="AN95" s="43"/>
      <c r="AO95" s="43"/>
      <c r="AP95" s="43"/>
      <c r="BF95" s="40"/>
      <c r="BG95" s="40"/>
      <c r="BI95" s="40"/>
      <c r="BK95" s="40"/>
      <c r="BM95" s="40"/>
      <c r="CD95" s="40"/>
      <c r="CE95" s="40"/>
      <c r="CF95" s="40"/>
      <c r="CG95" s="40"/>
      <c r="CH95" s="40"/>
      <c r="CI95" s="40"/>
      <c r="CJ95" s="40"/>
      <c r="CK95" s="40"/>
      <c r="DJ95" s="43"/>
      <c r="DK95" s="43"/>
      <c r="DM95" s="45"/>
    </row>
    <row r="96" spans="35:117" s="3" customFormat="1" ht="15.75" customHeight="1" x14ac:dyDescent="0.25">
      <c r="AI96" s="40"/>
      <c r="AJ96" s="43"/>
      <c r="AK96" s="43"/>
      <c r="AL96" s="43"/>
      <c r="AM96" s="43"/>
      <c r="AN96" s="43"/>
      <c r="AO96" s="43"/>
      <c r="AP96" s="43"/>
      <c r="BF96" s="40"/>
      <c r="BG96" s="40"/>
      <c r="BI96" s="40"/>
      <c r="BK96" s="40"/>
      <c r="BM96" s="40"/>
      <c r="CD96" s="40"/>
      <c r="CE96" s="40"/>
      <c r="CF96" s="40"/>
      <c r="CG96" s="40"/>
      <c r="CH96" s="40"/>
      <c r="CI96" s="40"/>
      <c r="CJ96" s="40"/>
      <c r="CK96" s="40"/>
      <c r="DJ96" s="43"/>
      <c r="DK96" s="43"/>
      <c r="DM96" s="45"/>
    </row>
    <row r="97" spans="35:117" s="3" customFormat="1" ht="15.75" customHeight="1" x14ac:dyDescent="0.25">
      <c r="AI97" s="40"/>
      <c r="AJ97" s="43"/>
      <c r="AK97" s="43"/>
      <c r="AL97" s="43"/>
      <c r="AM97" s="43"/>
      <c r="AN97" s="43"/>
      <c r="AO97" s="43"/>
      <c r="AP97" s="43"/>
      <c r="BF97" s="40"/>
      <c r="BG97" s="40"/>
      <c r="BI97" s="40"/>
      <c r="BK97" s="40"/>
      <c r="BM97" s="40"/>
      <c r="CD97" s="40"/>
      <c r="CE97" s="40"/>
      <c r="CF97" s="40"/>
      <c r="CG97" s="40"/>
      <c r="CH97" s="40"/>
      <c r="CI97" s="40"/>
      <c r="CJ97" s="40"/>
      <c r="CK97" s="40"/>
      <c r="DJ97" s="43"/>
      <c r="DK97" s="43"/>
      <c r="DM97" s="45"/>
    </row>
    <row r="98" spans="35:117" s="3" customFormat="1" ht="15.75" customHeight="1" x14ac:dyDescent="0.25">
      <c r="AI98" s="40"/>
      <c r="AJ98" s="43"/>
      <c r="AK98" s="43"/>
      <c r="AL98" s="43"/>
      <c r="AM98" s="43"/>
      <c r="AN98" s="43"/>
      <c r="AO98" s="43"/>
      <c r="AP98" s="43"/>
      <c r="BF98" s="40"/>
      <c r="BG98" s="40"/>
      <c r="BI98" s="40"/>
      <c r="BK98" s="40"/>
      <c r="BM98" s="40"/>
      <c r="CD98" s="40"/>
      <c r="CE98" s="40"/>
      <c r="CF98" s="40"/>
      <c r="CG98" s="40"/>
      <c r="CH98" s="40"/>
      <c r="CI98" s="40"/>
      <c r="CJ98" s="40"/>
      <c r="CK98" s="40"/>
      <c r="DJ98" s="43"/>
      <c r="DK98" s="43"/>
      <c r="DM98" s="45"/>
    </row>
    <row r="99" spans="35:117" s="3" customFormat="1" ht="15.75" customHeight="1" x14ac:dyDescent="0.25">
      <c r="AI99" s="40"/>
      <c r="AJ99" s="43"/>
      <c r="AK99" s="43"/>
      <c r="AL99" s="43"/>
      <c r="AM99" s="43"/>
      <c r="AN99" s="43"/>
      <c r="AO99" s="43"/>
      <c r="AP99" s="43"/>
      <c r="BF99" s="40"/>
      <c r="BG99" s="40"/>
      <c r="BI99" s="40"/>
      <c r="BK99" s="40"/>
      <c r="BM99" s="40"/>
      <c r="CD99" s="40"/>
      <c r="CE99" s="40"/>
      <c r="CF99" s="40"/>
      <c r="CG99" s="40"/>
      <c r="CH99" s="40"/>
      <c r="CI99" s="40"/>
      <c r="CJ99" s="40"/>
      <c r="CK99" s="40"/>
      <c r="DJ99" s="43"/>
      <c r="DK99" s="43"/>
      <c r="DM99" s="45"/>
    </row>
    <row r="100" spans="35:117" s="3" customFormat="1" ht="15.75" customHeight="1" x14ac:dyDescent="0.25">
      <c r="AI100" s="40"/>
      <c r="AJ100" s="43"/>
      <c r="AK100" s="43"/>
      <c r="AL100" s="43"/>
      <c r="AM100" s="43"/>
      <c r="AN100" s="43"/>
      <c r="AO100" s="43"/>
      <c r="AP100" s="43"/>
      <c r="BF100" s="40"/>
      <c r="BG100" s="40"/>
      <c r="BI100" s="40"/>
      <c r="BK100" s="40"/>
      <c r="BM100" s="40"/>
      <c r="CD100" s="40"/>
      <c r="CE100" s="40"/>
      <c r="CF100" s="40"/>
      <c r="CG100" s="40"/>
      <c r="CH100" s="40"/>
      <c r="CI100" s="40"/>
      <c r="CJ100" s="40"/>
      <c r="CK100" s="40"/>
      <c r="DJ100" s="43"/>
      <c r="DK100" s="43"/>
      <c r="DM100" s="45"/>
    </row>
    <row r="101" spans="35:117" s="3" customFormat="1" ht="15.75" customHeight="1" x14ac:dyDescent="0.25">
      <c r="AI101" s="40"/>
      <c r="AJ101" s="43"/>
      <c r="AK101" s="43"/>
      <c r="AL101" s="43"/>
      <c r="AM101" s="43"/>
      <c r="AN101" s="43"/>
      <c r="AO101" s="43"/>
      <c r="AP101" s="43"/>
      <c r="BF101" s="40"/>
      <c r="BG101" s="40"/>
      <c r="BI101" s="40"/>
      <c r="BK101" s="40"/>
      <c r="BM101" s="40"/>
      <c r="CD101" s="40"/>
      <c r="CE101" s="40"/>
      <c r="CF101" s="40"/>
      <c r="CG101" s="40"/>
      <c r="CH101" s="40"/>
      <c r="CI101" s="40"/>
      <c r="CJ101" s="40"/>
      <c r="CK101" s="40"/>
      <c r="DJ101" s="43"/>
      <c r="DK101" s="43"/>
      <c r="DM101" s="45"/>
    </row>
    <row r="102" spans="35:117" s="3" customFormat="1" ht="15.75" customHeight="1" x14ac:dyDescent="0.25">
      <c r="AI102" s="40"/>
      <c r="AJ102" s="43"/>
      <c r="AK102" s="43"/>
      <c r="AL102" s="43"/>
      <c r="AM102" s="43"/>
      <c r="AN102" s="43"/>
      <c r="AO102" s="43"/>
      <c r="AP102" s="43"/>
      <c r="BF102" s="40"/>
      <c r="BG102" s="40"/>
      <c r="BI102" s="40"/>
      <c r="BK102" s="40"/>
      <c r="BM102" s="40"/>
      <c r="CD102" s="40"/>
      <c r="CE102" s="40"/>
      <c r="CF102" s="40"/>
      <c r="CG102" s="40"/>
      <c r="CH102" s="40"/>
      <c r="CI102" s="40"/>
      <c r="CJ102" s="40"/>
      <c r="CK102" s="40"/>
      <c r="DJ102" s="43"/>
      <c r="DK102" s="43"/>
      <c r="DM102" s="45"/>
    </row>
    <row r="103" spans="35:117" s="3" customFormat="1" ht="15.75" customHeight="1" x14ac:dyDescent="0.25">
      <c r="AI103" s="40"/>
      <c r="AJ103" s="43"/>
      <c r="AK103" s="43"/>
      <c r="AL103" s="43"/>
      <c r="AM103" s="43"/>
      <c r="AN103" s="43"/>
      <c r="AO103" s="43"/>
      <c r="AP103" s="43"/>
      <c r="BF103" s="40"/>
      <c r="BG103" s="40"/>
      <c r="BI103" s="40"/>
      <c r="BK103" s="40"/>
      <c r="BM103" s="40"/>
      <c r="CD103" s="40"/>
      <c r="CE103" s="40"/>
      <c r="CF103" s="40"/>
      <c r="CG103" s="40"/>
      <c r="CH103" s="40"/>
      <c r="CI103" s="40"/>
      <c r="CJ103" s="40"/>
      <c r="CK103" s="40"/>
      <c r="DJ103" s="43"/>
      <c r="DK103" s="43"/>
      <c r="DM103" s="45"/>
    </row>
    <row r="104" spans="35:117" s="3" customFormat="1" ht="15.75" customHeight="1" x14ac:dyDescent="0.25">
      <c r="AI104" s="40"/>
      <c r="AJ104" s="43"/>
      <c r="AK104" s="43"/>
      <c r="AL104" s="43"/>
      <c r="AM104" s="43"/>
      <c r="AN104" s="43"/>
      <c r="AO104" s="43"/>
      <c r="AP104" s="43"/>
      <c r="BF104" s="40"/>
      <c r="BG104" s="40"/>
      <c r="BI104" s="40"/>
      <c r="BK104" s="40"/>
      <c r="BM104" s="40"/>
      <c r="CD104" s="40"/>
      <c r="CE104" s="40"/>
      <c r="CF104" s="40"/>
      <c r="CG104" s="40"/>
      <c r="CH104" s="40"/>
      <c r="CI104" s="40"/>
      <c r="CJ104" s="40"/>
      <c r="CK104" s="40"/>
      <c r="DJ104" s="43"/>
      <c r="DK104" s="43"/>
      <c r="DM104" s="45"/>
    </row>
    <row r="105" spans="35:117" s="3" customFormat="1" ht="15.75" customHeight="1" x14ac:dyDescent="0.25">
      <c r="AI105" s="40"/>
      <c r="AJ105" s="43"/>
      <c r="AK105" s="43"/>
      <c r="AL105" s="43"/>
      <c r="AM105" s="43"/>
      <c r="AN105" s="43"/>
      <c r="AO105" s="43"/>
      <c r="AP105" s="43"/>
      <c r="BF105" s="40"/>
      <c r="BG105" s="40"/>
      <c r="BI105" s="40"/>
      <c r="BK105" s="40"/>
      <c r="BM105" s="40"/>
      <c r="CD105" s="40"/>
      <c r="CE105" s="40"/>
      <c r="CF105" s="40"/>
      <c r="CG105" s="40"/>
      <c r="CH105" s="40"/>
      <c r="CI105" s="40"/>
      <c r="CJ105" s="40"/>
      <c r="CK105" s="40"/>
      <c r="DJ105" s="43"/>
      <c r="DK105" s="43"/>
      <c r="DM105" s="45"/>
    </row>
    <row r="106" spans="35:117" s="3" customFormat="1" ht="15.75" customHeight="1" x14ac:dyDescent="0.25">
      <c r="AI106" s="40"/>
      <c r="AJ106" s="43"/>
      <c r="AK106" s="43"/>
      <c r="AL106" s="43"/>
      <c r="AM106" s="43"/>
      <c r="AN106" s="43"/>
      <c r="AO106" s="43"/>
      <c r="AP106" s="43"/>
      <c r="BF106" s="40"/>
      <c r="BG106" s="40"/>
      <c r="BI106" s="40"/>
      <c r="BK106" s="40"/>
      <c r="BM106" s="40"/>
      <c r="CD106" s="40"/>
      <c r="CE106" s="40"/>
      <c r="CF106" s="40"/>
      <c r="CG106" s="40"/>
      <c r="CH106" s="40"/>
      <c r="CI106" s="40"/>
      <c r="CJ106" s="40"/>
      <c r="CK106" s="40"/>
      <c r="DJ106" s="43"/>
      <c r="DK106" s="43"/>
      <c r="DM106" s="45"/>
    </row>
    <row r="107" spans="35:117" s="3" customFormat="1" ht="15.75" customHeight="1" x14ac:dyDescent="0.25">
      <c r="AI107" s="40"/>
      <c r="AJ107" s="43"/>
      <c r="AK107" s="43"/>
      <c r="AL107" s="43"/>
      <c r="AM107" s="43"/>
      <c r="AN107" s="43"/>
      <c r="AO107" s="43"/>
      <c r="AP107" s="43"/>
      <c r="BF107" s="40"/>
      <c r="BG107" s="40"/>
      <c r="BI107" s="40"/>
      <c r="BK107" s="40"/>
      <c r="BM107" s="40"/>
      <c r="CD107" s="40"/>
      <c r="CE107" s="40"/>
      <c r="CF107" s="40"/>
      <c r="CG107" s="40"/>
      <c r="CH107" s="40"/>
      <c r="CI107" s="40"/>
      <c r="CJ107" s="40"/>
      <c r="CK107" s="40"/>
      <c r="DJ107" s="43"/>
      <c r="DK107" s="43"/>
      <c r="DM107" s="45"/>
    </row>
    <row r="108" spans="35:117" s="3" customFormat="1" ht="15.75" customHeight="1" x14ac:dyDescent="0.25">
      <c r="AI108" s="40"/>
      <c r="AJ108" s="43"/>
      <c r="AK108" s="43"/>
      <c r="AL108" s="43"/>
      <c r="AM108" s="43"/>
      <c r="AN108" s="43"/>
      <c r="AO108" s="43"/>
      <c r="AP108" s="43"/>
      <c r="BF108" s="40"/>
      <c r="BG108" s="40"/>
      <c r="BI108" s="40"/>
      <c r="BK108" s="40"/>
      <c r="BM108" s="40"/>
      <c r="CD108" s="40"/>
      <c r="CE108" s="40"/>
      <c r="CF108" s="40"/>
      <c r="CG108" s="40"/>
      <c r="CH108" s="40"/>
      <c r="CI108" s="40"/>
      <c r="CJ108" s="40"/>
      <c r="CK108" s="40"/>
      <c r="DJ108" s="43"/>
      <c r="DK108" s="43"/>
      <c r="DM108" s="45"/>
    </row>
    <row r="109" spans="35:117" s="3" customFormat="1" ht="15.75" customHeight="1" x14ac:dyDescent="0.25">
      <c r="AI109" s="40"/>
      <c r="AJ109" s="43"/>
      <c r="AK109" s="43"/>
      <c r="AL109" s="43"/>
      <c r="AM109" s="43"/>
      <c r="AN109" s="43"/>
      <c r="AO109" s="43"/>
      <c r="AP109" s="43"/>
      <c r="BF109" s="40"/>
      <c r="BG109" s="40"/>
      <c r="BI109" s="40"/>
      <c r="BK109" s="40"/>
      <c r="BM109" s="40"/>
      <c r="CD109" s="40"/>
      <c r="CE109" s="40"/>
      <c r="CF109" s="40"/>
      <c r="CG109" s="40"/>
      <c r="CH109" s="40"/>
      <c r="CI109" s="40"/>
      <c r="CJ109" s="40"/>
      <c r="CK109" s="40"/>
      <c r="DJ109" s="43"/>
      <c r="DK109" s="43"/>
      <c r="DM109" s="45"/>
    </row>
    <row r="110" spans="35:117" s="3" customFormat="1" ht="15.75" customHeight="1" x14ac:dyDescent="0.25">
      <c r="AI110" s="40"/>
      <c r="AJ110" s="43"/>
      <c r="AK110" s="43"/>
      <c r="AL110" s="43"/>
      <c r="AM110" s="43"/>
      <c r="AN110" s="43"/>
      <c r="AO110" s="43"/>
      <c r="AP110" s="43"/>
      <c r="BF110" s="40"/>
      <c r="BG110" s="40"/>
      <c r="BI110" s="40"/>
      <c r="BK110" s="40"/>
      <c r="BM110" s="40"/>
      <c r="CD110" s="40"/>
      <c r="CE110" s="40"/>
      <c r="CF110" s="40"/>
      <c r="CG110" s="40"/>
      <c r="CH110" s="40"/>
      <c r="CI110" s="40"/>
      <c r="CJ110" s="40"/>
      <c r="CK110" s="40"/>
      <c r="DJ110" s="43"/>
      <c r="DK110" s="43"/>
      <c r="DM110" s="45"/>
    </row>
    <row r="111" spans="35:117" s="3" customFormat="1" ht="15.75" customHeight="1" x14ac:dyDescent="0.25">
      <c r="AI111" s="40"/>
      <c r="AJ111" s="43"/>
      <c r="AK111" s="43"/>
      <c r="AL111" s="43"/>
      <c r="AM111" s="43"/>
      <c r="AN111" s="43"/>
      <c r="AO111" s="43"/>
      <c r="AP111" s="43"/>
      <c r="BF111" s="40"/>
      <c r="BG111" s="40"/>
      <c r="BI111" s="40"/>
      <c r="BK111" s="40"/>
      <c r="BM111" s="40"/>
      <c r="CD111" s="40"/>
      <c r="CE111" s="40"/>
      <c r="CF111" s="40"/>
      <c r="CG111" s="40"/>
      <c r="CH111" s="40"/>
      <c r="CI111" s="40"/>
      <c r="CJ111" s="40"/>
      <c r="CK111" s="40"/>
      <c r="DJ111" s="43"/>
      <c r="DK111" s="43"/>
      <c r="DM111" s="45"/>
    </row>
    <row r="112" spans="35:117" s="3" customFormat="1" ht="15.75" customHeight="1" x14ac:dyDescent="0.25">
      <c r="AI112" s="40"/>
      <c r="AJ112" s="43"/>
      <c r="AK112" s="43"/>
      <c r="AL112" s="43"/>
      <c r="AM112" s="43"/>
      <c r="AN112" s="43"/>
      <c r="AO112" s="43"/>
      <c r="AP112" s="43"/>
      <c r="BF112" s="40"/>
      <c r="BG112" s="40"/>
      <c r="BI112" s="40"/>
      <c r="BK112" s="40"/>
      <c r="BM112" s="40"/>
      <c r="CD112" s="40"/>
      <c r="CE112" s="40"/>
      <c r="CF112" s="40"/>
      <c r="CG112" s="40"/>
      <c r="CH112" s="40"/>
      <c r="CI112" s="40"/>
      <c r="CJ112" s="40"/>
      <c r="CK112" s="40"/>
      <c r="DJ112" s="43"/>
      <c r="DK112" s="43"/>
      <c r="DM112" s="45"/>
    </row>
    <row r="113" spans="35:117" s="3" customFormat="1" ht="15.75" customHeight="1" x14ac:dyDescent="0.25">
      <c r="AI113" s="40"/>
      <c r="AJ113" s="43"/>
      <c r="AK113" s="43"/>
      <c r="AL113" s="43"/>
      <c r="AM113" s="43"/>
      <c r="AN113" s="43"/>
      <c r="AO113" s="43"/>
      <c r="AP113" s="43"/>
      <c r="BF113" s="40"/>
      <c r="BG113" s="40"/>
      <c r="BI113" s="40"/>
      <c r="BK113" s="40"/>
      <c r="BM113" s="40"/>
      <c r="CD113" s="40"/>
      <c r="CE113" s="40"/>
      <c r="CF113" s="40"/>
      <c r="CG113" s="40"/>
      <c r="CH113" s="40"/>
      <c r="CI113" s="40"/>
      <c r="CJ113" s="40"/>
      <c r="CK113" s="40"/>
      <c r="DJ113" s="43"/>
      <c r="DK113" s="43"/>
      <c r="DM113" s="45"/>
    </row>
    <row r="114" spans="35:117" s="3" customFormat="1" ht="15.75" customHeight="1" x14ac:dyDescent="0.25">
      <c r="AI114" s="40"/>
      <c r="AJ114" s="43"/>
      <c r="AK114" s="43"/>
      <c r="AL114" s="43"/>
      <c r="AM114" s="43"/>
      <c r="AN114" s="43"/>
      <c r="AO114" s="43"/>
      <c r="AP114" s="43"/>
      <c r="BF114" s="40"/>
      <c r="BG114" s="40"/>
      <c r="BI114" s="40"/>
      <c r="BK114" s="40"/>
      <c r="BM114" s="40"/>
      <c r="CD114" s="40"/>
      <c r="CE114" s="40"/>
      <c r="CF114" s="40"/>
      <c r="CG114" s="40"/>
      <c r="CH114" s="40"/>
      <c r="CI114" s="40"/>
      <c r="CJ114" s="40"/>
      <c r="CK114" s="40"/>
      <c r="DJ114" s="43"/>
      <c r="DK114" s="43"/>
      <c r="DM114" s="45"/>
    </row>
    <row r="115" spans="35:117" s="3" customFormat="1" ht="15.75" customHeight="1" x14ac:dyDescent="0.25">
      <c r="AI115" s="40"/>
      <c r="AJ115" s="43"/>
      <c r="AK115" s="43"/>
      <c r="AL115" s="43"/>
      <c r="AM115" s="43"/>
      <c r="AN115" s="43"/>
      <c r="AO115" s="43"/>
      <c r="AP115" s="43"/>
      <c r="BF115" s="40"/>
      <c r="BG115" s="40"/>
      <c r="BI115" s="40"/>
      <c r="BK115" s="40"/>
      <c r="BM115" s="40"/>
      <c r="CD115" s="40"/>
      <c r="CE115" s="40"/>
      <c r="CF115" s="40"/>
      <c r="CG115" s="40"/>
      <c r="CH115" s="40"/>
      <c r="CI115" s="40"/>
      <c r="CJ115" s="40"/>
      <c r="CK115" s="40"/>
      <c r="DJ115" s="43"/>
      <c r="DK115" s="43"/>
      <c r="DM115" s="45"/>
    </row>
    <row r="116" spans="35:117" s="3" customFormat="1" ht="15.75" customHeight="1" x14ac:dyDescent="0.25">
      <c r="AI116" s="40"/>
      <c r="AJ116" s="43"/>
      <c r="AK116" s="43"/>
      <c r="AL116" s="43"/>
      <c r="AM116" s="43"/>
      <c r="AN116" s="43"/>
      <c r="AO116" s="43"/>
      <c r="AP116" s="43"/>
      <c r="BF116" s="40"/>
      <c r="BG116" s="40"/>
      <c r="BI116" s="40"/>
      <c r="BK116" s="40"/>
      <c r="BM116" s="40"/>
      <c r="CD116" s="40"/>
      <c r="CE116" s="40"/>
      <c r="CF116" s="40"/>
      <c r="CG116" s="40"/>
      <c r="CH116" s="40"/>
      <c r="CI116" s="40"/>
      <c r="CJ116" s="40"/>
      <c r="CK116" s="40"/>
      <c r="DJ116" s="43"/>
      <c r="DK116" s="43"/>
      <c r="DM116" s="45"/>
    </row>
    <row r="117" spans="35:117" s="3" customFormat="1" ht="15.75" customHeight="1" x14ac:dyDescent="0.25">
      <c r="AI117" s="40"/>
      <c r="AJ117" s="43"/>
      <c r="AK117" s="43"/>
      <c r="AL117" s="43"/>
      <c r="AM117" s="43"/>
      <c r="AN117" s="43"/>
      <c r="AO117" s="43"/>
      <c r="AP117" s="43"/>
      <c r="BF117" s="40"/>
      <c r="BG117" s="40"/>
      <c r="BI117" s="40"/>
      <c r="BK117" s="40"/>
      <c r="BM117" s="40"/>
      <c r="CD117" s="40"/>
      <c r="CE117" s="40"/>
      <c r="CF117" s="40"/>
      <c r="CG117" s="40"/>
      <c r="CH117" s="40"/>
      <c r="CI117" s="40"/>
      <c r="CJ117" s="40"/>
      <c r="CK117" s="40"/>
      <c r="DJ117" s="43"/>
      <c r="DK117" s="43"/>
      <c r="DM117" s="45"/>
    </row>
    <row r="118" spans="35:117" s="3" customFormat="1" ht="15.75" customHeight="1" x14ac:dyDescent="0.25">
      <c r="AI118" s="40"/>
      <c r="AJ118" s="43"/>
      <c r="AK118" s="43"/>
      <c r="AL118" s="43"/>
      <c r="AM118" s="43"/>
      <c r="AN118" s="43"/>
      <c r="AO118" s="43"/>
      <c r="AP118" s="43"/>
      <c r="BF118" s="40"/>
      <c r="BG118" s="40"/>
      <c r="BI118" s="40"/>
      <c r="BK118" s="40"/>
      <c r="BM118" s="40"/>
      <c r="CD118" s="40"/>
      <c r="CE118" s="40"/>
      <c r="CF118" s="40"/>
      <c r="CG118" s="40"/>
      <c r="CH118" s="40"/>
      <c r="CI118" s="40"/>
      <c r="CJ118" s="40"/>
      <c r="CK118" s="40"/>
      <c r="DJ118" s="43"/>
      <c r="DK118" s="43"/>
      <c r="DM118" s="45"/>
    </row>
    <row r="119" spans="35:117" s="3" customFormat="1" ht="15.75" customHeight="1" x14ac:dyDescent="0.25">
      <c r="AI119" s="40"/>
      <c r="AJ119" s="43"/>
      <c r="AK119" s="43"/>
      <c r="AL119" s="43"/>
      <c r="AM119" s="43"/>
      <c r="AN119" s="43"/>
      <c r="AO119" s="43"/>
      <c r="AP119" s="43"/>
      <c r="BF119" s="40"/>
      <c r="BG119" s="40"/>
      <c r="BI119" s="40"/>
      <c r="BK119" s="40"/>
      <c r="BM119" s="40"/>
      <c r="CD119" s="40"/>
      <c r="CE119" s="40"/>
      <c r="CF119" s="40"/>
      <c r="CG119" s="40"/>
      <c r="CH119" s="40"/>
      <c r="CI119" s="40"/>
      <c r="CJ119" s="40"/>
      <c r="CK119" s="40"/>
      <c r="DJ119" s="43"/>
      <c r="DK119" s="43"/>
      <c r="DM119" s="45"/>
    </row>
    <row r="120" spans="35:117" s="3" customFormat="1" ht="15.75" customHeight="1" x14ac:dyDescent="0.25">
      <c r="AI120" s="40"/>
      <c r="AJ120" s="43"/>
      <c r="AK120" s="43"/>
      <c r="AL120" s="43"/>
      <c r="AM120" s="43"/>
      <c r="AN120" s="43"/>
      <c r="AO120" s="43"/>
      <c r="AP120" s="43"/>
      <c r="BF120" s="40"/>
      <c r="BG120" s="40"/>
      <c r="BI120" s="40"/>
      <c r="BK120" s="40"/>
      <c r="BM120" s="40"/>
      <c r="CD120" s="40"/>
      <c r="CE120" s="40"/>
      <c r="CF120" s="40"/>
      <c r="CG120" s="40"/>
      <c r="CH120" s="40"/>
      <c r="CI120" s="40"/>
      <c r="CJ120" s="40"/>
      <c r="CK120" s="40"/>
      <c r="DJ120" s="43"/>
      <c r="DK120" s="43"/>
      <c r="DM120" s="45"/>
    </row>
    <row r="121" spans="35:117" s="3" customFormat="1" ht="15.75" customHeight="1" x14ac:dyDescent="0.25">
      <c r="AI121" s="40"/>
      <c r="AJ121" s="43"/>
      <c r="AK121" s="43"/>
      <c r="AL121" s="43"/>
      <c r="AM121" s="43"/>
      <c r="AN121" s="43"/>
      <c r="AO121" s="43"/>
      <c r="AP121" s="43"/>
      <c r="BF121" s="40"/>
      <c r="BG121" s="40"/>
      <c r="BI121" s="40"/>
      <c r="BK121" s="40"/>
      <c r="BM121" s="40"/>
      <c r="CD121" s="40"/>
      <c r="CE121" s="40"/>
      <c r="CF121" s="40"/>
      <c r="CG121" s="40"/>
      <c r="CH121" s="40"/>
      <c r="CI121" s="40"/>
      <c r="CJ121" s="40"/>
      <c r="CK121" s="40"/>
      <c r="DJ121" s="43"/>
      <c r="DK121" s="43"/>
      <c r="DM121" s="45"/>
    </row>
    <row r="122" spans="35:117" s="3" customFormat="1" ht="15.75" customHeight="1" x14ac:dyDescent="0.25">
      <c r="AI122" s="40"/>
      <c r="AJ122" s="43"/>
      <c r="AK122" s="43"/>
      <c r="AL122" s="43"/>
      <c r="AM122" s="43"/>
      <c r="AN122" s="43"/>
      <c r="AO122" s="43"/>
      <c r="AP122" s="43"/>
      <c r="BF122" s="40"/>
      <c r="BG122" s="40"/>
      <c r="BI122" s="40"/>
      <c r="BK122" s="40"/>
      <c r="BM122" s="40"/>
      <c r="CD122" s="40"/>
      <c r="CE122" s="40"/>
      <c r="CF122" s="40"/>
      <c r="CG122" s="40"/>
      <c r="CH122" s="40"/>
      <c r="CI122" s="40"/>
      <c r="CJ122" s="40"/>
      <c r="CK122" s="40"/>
      <c r="DJ122" s="43"/>
      <c r="DK122" s="43"/>
      <c r="DM122" s="45"/>
    </row>
    <row r="123" spans="35:117" s="3" customFormat="1" ht="15.75" customHeight="1" x14ac:dyDescent="0.25">
      <c r="AI123" s="40"/>
      <c r="AJ123" s="43"/>
      <c r="AK123" s="43"/>
      <c r="AL123" s="43"/>
      <c r="AM123" s="43"/>
      <c r="AN123" s="43"/>
      <c r="AO123" s="43"/>
      <c r="AP123" s="43"/>
      <c r="BF123" s="40"/>
      <c r="BG123" s="40"/>
      <c r="BI123" s="40"/>
      <c r="BK123" s="40"/>
      <c r="BM123" s="40"/>
      <c r="CD123" s="40"/>
      <c r="CE123" s="40"/>
      <c r="CF123" s="40"/>
      <c r="CG123" s="40"/>
      <c r="CH123" s="40"/>
      <c r="CI123" s="40"/>
      <c r="CJ123" s="40"/>
      <c r="CK123" s="40"/>
      <c r="DJ123" s="43"/>
      <c r="DK123" s="43"/>
      <c r="DM123" s="45"/>
    </row>
    <row r="124" spans="35:117" s="3" customFormat="1" ht="15.75" customHeight="1" x14ac:dyDescent="0.25">
      <c r="AI124" s="40"/>
      <c r="AJ124" s="43"/>
      <c r="AK124" s="43"/>
      <c r="AL124" s="43"/>
      <c r="AM124" s="43"/>
      <c r="AN124" s="43"/>
      <c r="AO124" s="43"/>
      <c r="AP124" s="43"/>
      <c r="BF124" s="40"/>
      <c r="BG124" s="40"/>
      <c r="BI124" s="40"/>
      <c r="BK124" s="40"/>
      <c r="BM124" s="40"/>
      <c r="CD124" s="40"/>
      <c r="CE124" s="40"/>
      <c r="CF124" s="40"/>
      <c r="CG124" s="40"/>
      <c r="CH124" s="40"/>
      <c r="CI124" s="40"/>
      <c r="CJ124" s="40"/>
      <c r="CK124" s="40"/>
      <c r="DJ124" s="43"/>
      <c r="DK124" s="43"/>
      <c r="DM124" s="45"/>
    </row>
    <row r="125" spans="35:117" s="3" customFormat="1" ht="15.75" customHeight="1" x14ac:dyDescent="0.25">
      <c r="AI125" s="40"/>
      <c r="AJ125" s="43"/>
      <c r="AK125" s="43"/>
      <c r="AL125" s="43"/>
      <c r="AM125" s="43"/>
      <c r="AN125" s="43"/>
      <c r="AO125" s="43"/>
      <c r="AP125" s="43"/>
      <c r="BF125" s="40"/>
      <c r="BG125" s="40"/>
      <c r="BI125" s="40"/>
      <c r="BK125" s="40"/>
      <c r="BM125" s="40"/>
      <c r="CD125" s="40"/>
      <c r="CE125" s="40"/>
      <c r="CF125" s="40"/>
      <c r="CG125" s="40"/>
      <c r="CH125" s="40"/>
      <c r="CI125" s="40"/>
      <c r="CJ125" s="40"/>
      <c r="CK125" s="40"/>
      <c r="DJ125" s="43"/>
      <c r="DK125" s="43"/>
      <c r="DM125" s="45"/>
    </row>
    <row r="126" spans="35:117" s="3" customFormat="1" ht="15.75" customHeight="1" x14ac:dyDescent="0.25">
      <c r="AI126" s="40"/>
      <c r="AJ126" s="43"/>
      <c r="AK126" s="43"/>
      <c r="AL126" s="43"/>
      <c r="AM126" s="43"/>
      <c r="AN126" s="43"/>
      <c r="AO126" s="43"/>
      <c r="AP126" s="43"/>
      <c r="BF126" s="40"/>
      <c r="BG126" s="40"/>
      <c r="BI126" s="40"/>
      <c r="BK126" s="40"/>
      <c r="BM126" s="40"/>
      <c r="CD126" s="40"/>
      <c r="CE126" s="40"/>
      <c r="CF126" s="40"/>
      <c r="CG126" s="40"/>
      <c r="CH126" s="40"/>
      <c r="CI126" s="40"/>
      <c r="CJ126" s="40"/>
      <c r="CK126" s="40"/>
      <c r="DJ126" s="43"/>
      <c r="DK126" s="43"/>
      <c r="DM126" s="45"/>
    </row>
    <row r="127" spans="35:117" s="3" customFormat="1" ht="15.75" customHeight="1" x14ac:dyDescent="0.25">
      <c r="AI127" s="40"/>
      <c r="AJ127" s="43"/>
      <c r="AK127" s="43"/>
      <c r="AL127" s="43"/>
      <c r="AM127" s="43"/>
      <c r="AN127" s="43"/>
      <c r="AO127" s="43"/>
      <c r="AP127" s="43"/>
      <c r="BF127" s="40"/>
      <c r="BG127" s="40"/>
      <c r="BI127" s="40"/>
      <c r="BK127" s="40"/>
      <c r="BM127" s="40"/>
      <c r="CD127" s="40"/>
      <c r="CE127" s="40"/>
      <c r="CF127" s="40"/>
      <c r="CG127" s="40"/>
      <c r="CH127" s="40"/>
      <c r="CI127" s="40"/>
      <c r="CJ127" s="40"/>
      <c r="CK127" s="40"/>
      <c r="DJ127" s="43"/>
      <c r="DK127" s="43"/>
      <c r="DM127" s="45"/>
    </row>
    <row r="128" spans="35:117" s="3" customFormat="1" ht="15.75" customHeight="1" x14ac:dyDescent="0.25">
      <c r="AI128" s="40"/>
      <c r="AJ128" s="43"/>
      <c r="AK128" s="43"/>
      <c r="AL128" s="43"/>
      <c r="AM128" s="43"/>
      <c r="AN128" s="43"/>
      <c r="AO128" s="43"/>
      <c r="AP128" s="43"/>
      <c r="BF128" s="40"/>
      <c r="BG128" s="40"/>
      <c r="BI128" s="40"/>
      <c r="BK128" s="40"/>
      <c r="BM128" s="40"/>
      <c r="CD128" s="40"/>
      <c r="CE128" s="40"/>
      <c r="CF128" s="40"/>
      <c r="CG128" s="40"/>
      <c r="CH128" s="40"/>
      <c r="CI128" s="40"/>
      <c r="CJ128" s="40"/>
      <c r="CK128" s="40"/>
      <c r="DJ128" s="43"/>
      <c r="DK128" s="43"/>
      <c r="DM128" s="45"/>
    </row>
    <row r="129" spans="35:117" s="3" customFormat="1" ht="15.75" customHeight="1" x14ac:dyDescent="0.25">
      <c r="AI129" s="40"/>
      <c r="AJ129" s="43"/>
      <c r="AK129" s="43"/>
      <c r="AL129" s="43"/>
      <c r="AM129" s="43"/>
      <c r="AN129" s="43"/>
      <c r="AO129" s="43"/>
      <c r="AP129" s="43"/>
      <c r="BF129" s="40"/>
      <c r="BG129" s="40"/>
      <c r="BI129" s="40"/>
      <c r="BK129" s="40"/>
      <c r="BM129" s="40"/>
      <c r="CD129" s="40"/>
      <c r="CE129" s="40"/>
      <c r="CF129" s="40"/>
      <c r="CG129" s="40"/>
      <c r="CH129" s="40"/>
      <c r="CI129" s="40"/>
      <c r="CJ129" s="40"/>
      <c r="CK129" s="40"/>
      <c r="DJ129" s="43"/>
      <c r="DK129" s="43"/>
      <c r="DM129" s="45"/>
    </row>
    <row r="130" spans="35:117" s="3" customFormat="1" ht="15.75" customHeight="1" x14ac:dyDescent="0.25">
      <c r="AI130" s="40"/>
      <c r="AJ130" s="43"/>
      <c r="AK130" s="43"/>
      <c r="AL130" s="43"/>
      <c r="AM130" s="43"/>
      <c r="AN130" s="43"/>
      <c r="AO130" s="43"/>
      <c r="AP130" s="43"/>
      <c r="BF130" s="40"/>
      <c r="BG130" s="40"/>
      <c r="BI130" s="40"/>
      <c r="BK130" s="40"/>
      <c r="BM130" s="40"/>
      <c r="CD130" s="40"/>
      <c r="CE130" s="40"/>
      <c r="CF130" s="40"/>
      <c r="CG130" s="40"/>
      <c r="CH130" s="40"/>
      <c r="CI130" s="40"/>
      <c r="CJ130" s="40"/>
      <c r="CK130" s="40"/>
      <c r="DJ130" s="43"/>
      <c r="DK130" s="43"/>
      <c r="DM130" s="45"/>
    </row>
    <row r="131" spans="35:117" s="3" customFormat="1" ht="15.75" customHeight="1" x14ac:dyDescent="0.25">
      <c r="AI131" s="40"/>
      <c r="AJ131" s="43"/>
      <c r="AK131" s="43"/>
      <c r="AL131" s="43"/>
      <c r="AM131" s="43"/>
      <c r="AN131" s="43"/>
      <c r="AO131" s="43"/>
      <c r="AP131" s="43"/>
      <c r="BF131" s="40"/>
      <c r="BG131" s="40"/>
      <c r="BI131" s="40"/>
      <c r="BK131" s="40"/>
      <c r="BM131" s="40"/>
      <c r="CD131" s="40"/>
      <c r="CE131" s="40"/>
      <c r="CF131" s="40"/>
      <c r="CG131" s="40"/>
      <c r="CH131" s="40"/>
      <c r="CI131" s="40"/>
      <c r="CJ131" s="40"/>
      <c r="CK131" s="40"/>
      <c r="DJ131" s="43"/>
      <c r="DK131" s="43"/>
      <c r="DM131" s="45"/>
    </row>
    <row r="132" spans="35:117" s="3" customFormat="1" ht="15.75" customHeight="1" x14ac:dyDescent="0.25">
      <c r="AI132" s="40"/>
      <c r="AJ132" s="43"/>
      <c r="AK132" s="43"/>
      <c r="AL132" s="43"/>
      <c r="AM132" s="43"/>
      <c r="AN132" s="43"/>
      <c r="AO132" s="43"/>
      <c r="AP132" s="43"/>
      <c r="BF132" s="40"/>
      <c r="BG132" s="40"/>
      <c r="BI132" s="40"/>
      <c r="BK132" s="40"/>
      <c r="BM132" s="40"/>
      <c r="CD132" s="40"/>
      <c r="CE132" s="40"/>
      <c r="CF132" s="40"/>
      <c r="CG132" s="40"/>
      <c r="CH132" s="40"/>
      <c r="CI132" s="40"/>
      <c r="CJ132" s="40"/>
      <c r="CK132" s="40"/>
      <c r="DJ132" s="43"/>
      <c r="DK132" s="43"/>
      <c r="DM132" s="45"/>
    </row>
    <row r="133" spans="35:117" s="3" customFormat="1" ht="15.75" customHeight="1" x14ac:dyDescent="0.25">
      <c r="AI133" s="40"/>
      <c r="AJ133" s="43"/>
      <c r="AK133" s="43"/>
      <c r="AL133" s="43"/>
      <c r="AM133" s="43"/>
      <c r="AN133" s="43"/>
      <c r="AO133" s="43"/>
      <c r="AP133" s="43"/>
      <c r="BF133" s="40"/>
      <c r="BG133" s="40"/>
      <c r="BI133" s="40"/>
      <c r="BK133" s="40"/>
      <c r="BM133" s="40"/>
      <c r="CD133" s="40"/>
      <c r="CE133" s="40"/>
      <c r="CF133" s="40"/>
      <c r="CG133" s="40"/>
      <c r="CH133" s="40"/>
      <c r="CI133" s="40"/>
      <c r="CJ133" s="40"/>
      <c r="CK133" s="40"/>
      <c r="DJ133" s="43"/>
      <c r="DK133" s="43"/>
      <c r="DM133" s="45"/>
    </row>
    <row r="134" spans="35:117" s="3" customFormat="1" ht="15.75" customHeight="1" x14ac:dyDescent="0.25">
      <c r="AI134" s="40"/>
      <c r="AJ134" s="43"/>
      <c r="AK134" s="43"/>
      <c r="AL134" s="43"/>
      <c r="AM134" s="43"/>
      <c r="AN134" s="43"/>
      <c r="AO134" s="43"/>
      <c r="AP134" s="43"/>
      <c r="BF134" s="40"/>
      <c r="BG134" s="40"/>
      <c r="BI134" s="40"/>
      <c r="BK134" s="40"/>
      <c r="BM134" s="40"/>
      <c r="CD134" s="40"/>
      <c r="CE134" s="40"/>
      <c r="CF134" s="40"/>
      <c r="CG134" s="40"/>
      <c r="CH134" s="40"/>
      <c r="CI134" s="40"/>
      <c r="CJ134" s="40"/>
      <c r="CK134" s="40"/>
      <c r="DJ134" s="43"/>
      <c r="DK134" s="43"/>
      <c r="DM134" s="45"/>
    </row>
    <row r="135" spans="35:117" s="3" customFormat="1" ht="15.75" customHeight="1" x14ac:dyDescent="0.25">
      <c r="AI135" s="40"/>
      <c r="AJ135" s="43"/>
      <c r="AK135" s="43"/>
      <c r="AL135" s="43"/>
      <c r="AM135" s="43"/>
      <c r="AN135" s="43"/>
      <c r="AO135" s="43"/>
      <c r="AP135" s="43"/>
      <c r="BF135" s="40"/>
      <c r="BG135" s="40"/>
      <c r="BI135" s="40"/>
      <c r="BK135" s="40"/>
      <c r="BM135" s="40"/>
      <c r="CD135" s="40"/>
      <c r="CE135" s="40"/>
      <c r="CF135" s="40"/>
      <c r="CG135" s="40"/>
      <c r="CH135" s="40"/>
      <c r="CI135" s="40"/>
      <c r="CJ135" s="40"/>
      <c r="CK135" s="40"/>
      <c r="DJ135" s="43"/>
      <c r="DK135" s="43"/>
      <c r="DM135" s="45"/>
    </row>
    <row r="136" spans="35:117" s="3" customFormat="1" ht="15.75" customHeight="1" x14ac:dyDescent="0.25">
      <c r="AI136" s="40"/>
      <c r="AJ136" s="43"/>
      <c r="AK136" s="43"/>
      <c r="AL136" s="43"/>
      <c r="AM136" s="43"/>
      <c r="AN136" s="43"/>
      <c r="AO136" s="43"/>
      <c r="AP136" s="43"/>
      <c r="BF136" s="40"/>
      <c r="BG136" s="40"/>
      <c r="BI136" s="40"/>
      <c r="BK136" s="40"/>
      <c r="BM136" s="40"/>
      <c r="CD136" s="40"/>
      <c r="CE136" s="40"/>
      <c r="CF136" s="40"/>
      <c r="CG136" s="40"/>
      <c r="CH136" s="40"/>
      <c r="CI136" s="40"/>
      <c r="CJ136" s="40"/>
      <c r="CK136" s="40"/>
      <c r="DJ136" s="43"/>
      <c r="DK136" s="43"/>
      <c r="DM136" s="45"/>
    </row>
    <row r="137" spans="35:117" s="3" customFormat="1" ht="15.75" customHeight="1" x14ac:dyDescent="0.25">
      <c r="AI137" s="40"/>
      <c r="AJ137" s="43"/>
      <c r="AK137" s="43"/>
      <c r="AL137" s="43"/>
      <c r="AM137" s="43"/>
      <c r="AN137" s="43"/>
      <c r="AO137" s="43"/>
      <c r="AP137" s="43"/>
      <c r="BF137" s="40"/>
      <c r="BG137" s="40"/>
      <c r="BI137" s="40"/>
      <c r="BK137" s="40"/>
      <c r="BM137" s="40"/>
      <c r="CD137" s="40"/>
      <c r="CE137" s="40"/>
      <c r="CF137" s="40"/>
      <c r="CG137" s="40"/>
      <c r="CH137" s="40"/>
      <c r="CI137" s="40"/>
      <c r="CJ137" s="40"/>
      <c r="CK137" s="40"/>
      <c r="DJ137" s="43"/>
      <c r="DK137" s="43"/>
      <c r="DM137" s="45"/>
    </row>
    <row r="138" spans="35:117" s="3" customFormat="1" ht="15.75" customHeight="1" x14ac:dyDescent="0.25">
      <c r="AI138" s="40"/>
      <c r="AJ138" s="43"/>
      <c r="AK138" s="43"/>
      <c r="AL138" s="43"/>
      <c r="AM138" s="43"/>
      <c r="AN138" s="43"/>
      <c r="AO138" s="43"/>
      <c r="AP138" s="43"/>
      <c r="BF138" s="40"/>
      <c r="BG138" s="40"/>
      <c r="BI138" s="40"/>
      <c r="BK138" s="40"/>
      <c r="BM138" s="40"/>
      <c r="CD138" s="40"/>
      <c r="CE138" s="40"/>
      <c r="CF138" s="40"/>
      <c r="CG138" s="40"/>
      <c r="CH138" s="40"/>
      <c r="CI138" s="40"/>
      <c r="CJ138" s="40"/>
      <c r="CK138" s="40"/>
      <c r="DJ138" s="43"/>
      <c r="DK138" s="43"/>
      <c r="DM138" s="45"/>
    </row>
    <row r="139" spans="35:117" s="3" customFormat="1" ht="15.75" customHeight="1" x14ac:dyDescent="0.25">
      <c r="AI139" s="40"/>
      <c r="AJ139" s="43"/>
      <c r="AK139" s="43"/>
      <c r="AL139" s="43"/>
      <c r="AM139" s="43"/>
      <c r="AN139" s="43"/>
      <c r="AO139" s="43"/>
      <c r="AP139" s="43"/>
      <c r="BF139" s="40"/>
      <c r="BG139" s="40"/>
      <c r="BI139" s="40"/>
      <c r="BK139" s="40"/>
      <c r="BM139" s="40"/>
      <c r="CD139" s="40"/>
      <c r="CE139" s="40"/>
      <c r="CF139" s="40"/>
      <c r="CG139" s="40"/>
      <c r="CH139" s="40"/>
      <c r="CI139" s="40"/>
      <c r="CJ139" s="40"/>
      <c r="CK139" s="40"/>
      <c r="DJ139" s="43"/>
      <c r="DK139" s="43"/>
      <c r="DM139" s="45"/>
    </row>
    <row r="140" spans="35:117" s="3" customFormat="1" ht="15.75" customHeight="1" x14ac:dyDescent="0.25">
      <c r="AI140" s="40"/>
      <c r="AJ140" s="43"/>
      <c r="AK140" s="43"/>
      <c r="AL140" s="43"/>
      <c r="AM140" s="43"/>
      <c r="AN140" s="43"/>
      <c r="AO140" s="43"/>
      <c r="AP140" s="43"/>
      <c r="BF140" s="40"/>
      <c r="BG140" s="40"/>
      <c r="BI140" s="40"/>
      <c r="BK140" s="40"/>
      <c r="BM140" s="40"/>
      <c r="CD140" s="40"/>
      <c r="CE140" s="40"/>
      <c r="CF140" s="40"/>
      <c r="CG140" s="40"/>
      <c r="CH140" s="40"/>
      <c r="CI140" s="40"/>
      <c r="CJ140" s="40"/>
      <c r="CK140" s="40"/>
      <c r="DJ140" s="43"/>
      <c r="DK140" s="43"/>
      <c r="DM140" s="45"/>
    </row>
    <row r="141" spans="35:117" s="3" customFormat="1" ht="15.75" customHeight="1" x14ac:dyDescent="0.25">
      <c r="AI141" s="40"/>
      <c r="AJ141" s="43"/>
      <c r="AK141" s="43"/>
      <c r="AL141" s="43"/>
      <c r="AM141" s="43"/>
      <c r="AN141" s="43"/>
      <c r="AO141" s="43"/>
      <c r="AP141" s="43"/>
      <c r="BF141" s="40"/>
      <c r="BG141" s="40"/>
      <c r="BI141" s="40"/>
      <c r="BK141" s="40"/>
      <c r="BM141" s="40"/>
      <c r="CD141" s="40"/>
      <c r="CE141" s="40"/>
      <c r="CF141" s="40"/>
      <c r="CG141" s="40"/>
      <c r="CH141" s="40"/>
      <c r="CI141" s="40"/>
      <c r="CJ141" s="40"/>
      <c r="CK141" s="40"/>
      <c r="DJ141" s="43"/>
      <c r="DK141" s="43"/>
      <c r="DM141" s="45"/>
    </row>
    <row r="142" spans="35:117" s="3" customFormat="1" ht="15.75" customHeight="1" x14ac:dyDescent="0.25">
      <c r="AI142" s="40"/>
      <c r="AJ142" s="43"/>
      <c r="AK142" s="43"/>
      <c r="AL142" s="43"/>
      <c r="AM142" s="43"/>
      <c r="AN142" s="43"/>
      <c r="AO142" s="43"/>
      <c r="AP142" s="43"/>
      <c r="BF142" s="40"/>
      <c r="BG142" s="40"/>
      <c r="BI142" s="40"/>
      <c r="BK142" s="40"/>
      <c r="BM142" s="40"/>
      <c r="CD142" s="40"/>
      <c r="CE142" s="40"/>
      <c r="CF142" s="40"/>
      <c r="CG142" s="40"/>
      <c r="CH142" s="40"/>
      <c r="CI142" s="40"/>
      <c r="CJ142" s="40"/>
      <c r="CK142" s="40"/>
      <c r="DJ142" s="43"/>
      <c r="DK142" s="43"/>
      <c r="DM142" s="45"/>
    </row>
    <row r="143" spans="35:117" s="3" customFormat="1" ht="15.75" customHeight="1" x14ac:dyDescent="0.25">
      <c r="AI143" s="40"/>
      <c r="AJ143" s="43"/>
      <c r="AK143" s="43"/>
      <c r="AL143" s="43"/>
      <c r="AM143" s="43"/>
      <c r="AN143" s="43"/>
      <c r="AO143" s="43"/>
      <c r="AP143" s="43"/>
      <c r="BF143" s="40"/>
      <c r="BG143" s="40"/>
      <c r="BI143" s="40"/>
      <c r="BK143" s="40"/>
      <c r="BM143" s="40"/>
      <c r="CD143" s="40"/>
      <c r="CE143" s="40"/>
      <c r="CF143" s="40"/>
      <c r="CG143" s="40"/>
      <c r="CH143" s="40"/>
      <c r="CI143" s="40"/>
      <c r="CJ143" s="40"/>
      <c r="CK143" s="40"/>
      <c r="DJ143" s="43"/>
      <c r="DK143" s="43"/>
      <c r="DM143" s="45"/>
    </row>
    <row r="144" spans="35:117" s="3" customFormat="1" ht="15.75" customHeight="1" x14ac:dyDescent="0.25">
      <c r="AI144" s="40"/>
      <c r="AJ144" s="43"/>
      <c r="AK144" s="43"/>
      <c r="AL144" s="43"/>
      <c r="AM144" s="43"/>
      <c r="AN144" s="43"/>
      <c r="AO144" s="43"/>
      <c r="AP144" s="43"/>
      <c r="BF144" s="40"/>
      <c r="BG144" s="40"/>
      <c r="BI144" s="40"/>
      <c r="BK144" s="40"/>
      <c r="BM144" s="40"/>
      <c r="CD144" s="40"/>
      <c r="CE144" s="40"/>
      <c r="CF144" s="40"/>
      <c r="CG144" s="40"/>
      <c r="CH144" s="40"/>
      <c r="CI144" s="40"/>
      <c r="CJ144" s="40"/>
      <c r="CK144" s="40"/>
      <c r="DJ144" s="43"/>
      <c r="DK144" s="43"/>
      <c r="DM144" s="45"/>
    </row>
    <row r="145" spans="35:117" s="3" customFormat="1" ht="15.75" customHeight="1" x14ac:dyDescent="0.25">
      <c r="AI145" s="40"/>
      <c r="AJ145" s="43"/>
      <c r="AK145" s="43"/>
      <c r="AL145" s="43"/>
      <c r="AM145" s="43"/>
      <c r="AN145" s="43"/>
      <c r="AO145" s="43"/>
      <c r="AP145" s="43"/>
      <c r="BF145" s="40"/>
      <c r="BG145" s="40"/>
      <c r="BI145" s="40"/>
      <c r="BK145" s="40"/>
      <c r="BM145" s="40"/>
      <c r="CD145" s="40"/>
      <c r="CE145" s="40"/>
      <c r="CF145" s="40"/>
      <c r="CG145" s="40"/>
      <c r="CH145" s="40"/>
      <c r="CI145" s="40"/>
      <c r="CJ145" s="40"/>
      <c r="CK145" s="40"/>
      <c r="DJ145" s="43"/>
      <c r="DK145" s="43"/>
      <c r="DM145" s="45"/>
    </row>
    <row r="146" spans="35:117" s="3" customFormat="1" ht="15.75" customHeight="1" x14ac:dyDescent="0.25">
      <c r="AI146" s="40"/>
      <c r="AJ146" s="43"/>
      <c r="AK146" s="43"/>
      <c r="AL146" s="43"/>
      <c r="AM146" s="43"/>
      <c r="AN146" s="43"/>
      <c r="AO146" s="43"/>
      <c r="AP146" s="43"/>
      <c r="BF146" s="40"/>
      <c r="BG146" s="40"/>
      <c r="BI146" s="40"/>
      <c r="BK146" s="40"/>
      <c r="BM146" s="40"/>
      <c r="CD146" s="40"/>
      <c r="CE146" s="40"/>
      <c r="CF146" s="40"/>
      <c r="CG146" s="40"/>
      <c r="CH146" s="40"/>
      <c r="CI146" s="40"/>
      <c r="CJ146" s="40"/>
      <c r="CK146" s="40"/>
      <c r="DJ146" s="43"/>
      <c r="DK146" s="43"/>
      <c r="DM146" s="45"/>
    </row>
    <row r="147" spans="35:117" s="3" customFormat="1" ht="15.75" customHeight="1" x14ac:dyDescent="0.25">
      <c r="AI147" s="40"/>
      <c r="AJ147" s="43"/>
      <c r="AK147" s="43"/>
      <c r="AL147" s="43"/>
      <c r="AM147" s="43"/>
      <c r="AN147" s="43"/>
      <c r="AO147" s="43"/>
      <c r="AP147" s="43"/>
      <c r="BF147" s="40"/>
      <c r="BG147" s="40"/>
      <c r="BI147" s="40"/>
      <c r="BK147" s="40"/>
      <c r="BM147" s="40"/>
      <c r="CD147" s="40"/>
      <c r="CE147" s="40"/>
      <c r="CF147" s="40"/>
      <c r="CG147" s="40"/>
      <c r="CH147" s="40"/>
      <c r="CI147" s="40"/>
      <c r="CJ147" s="40"/>
      <c r="CK147" s="40"/>
    </row>
    <row r="148" spans="35:117" s="3" customFormat="1" ht="15.75" customHeight="1" x14ac:dyDescent="0.25">
      <c r="AI148" s="40"/>
      <c r="AJ148" s="43"/>
      <c r="AK148" s="43"/>
      <c r="AL148" s="43"/>
      <c r="AM148" s="43"/>
      <c r="AN148" s="43"/>
      <c r="AO148" s="43"/>
      <c r="AP148" s="43"/>
      <c r="BF148" s="40"/>
      <c r="BG148" s="40"/>
      <c r="BI148" s="40"/>
      <c r="BK148" s="40"/>
      <c r="BM148" s="40"/>
      <c r="CD148" s="40"/>
      <c r="CE148" s="40"/>
      <c r="CF148" s="40"/>
      <c r="CG148" s="40"/>
      <c r="CH148" s="40"/>
      <c r="CI148" s="40"/>
      <c r="CJ148" s="40"/>
      <c r="CK148" s="40"/>
    </row>
    <row r="149" spans="35:117" s="3" customFormat="1" ht="15.75" customHeight="1" x14ac:dyDescent="0.25">
      <c r="AI149" s="40"/>
      <c r="AJ149" s="43"/>
      <c r="AK149" s="43"/>
      <c r="AL149" s="43"/>
      <c r="AM149" s="43"/>
      <c r="AN149" s="43"/>
      <c r="AO149" s="43"/>
      <c r="AP149" s="43"/>
      <c r="BF149" s="40"/>
      <c r="BG149" s="40"/>
      <c r="BI149" s="40"/>
      <c r="BK149" s="40"/>
      <c r="BM149" s="40"/>
      <c r="CD149" s="40"/>
      <c r="CE149" s="40"/>
      <c r="CF149" s="40"/>
      <c r="CG149" s="40"/>
      <c r="CH149" s="40"/>
      <c r="CI149" s="40"/>
      <c r="CJ149" s="40"/>
      <c r="CK149" s="40"/>
    </row>
    <row r="150" spans="35:117" s="3" customFormat="1" ht="15.75" customHeight="1" x14ac:dyDescent="0.25">
      <c r="AI150" s="40"/>
      <c r="AJ150" s="43"/>
      <c r="AK150" s="43"/>
      <c r="AL150" s="43"/>
      <c r="AM150" s="43"/>
      <c r="AN150" s="43"/>
      <c r="AO150" s="43"/>
      <c r="AP150" s="43"/>
      <c r="BF150" s="40"/>
      <c r="BG150" s="40"/>
      <c r="BI150" s="40"/>
      <c r="BK150" s="40"/>
      <c r="BM150" s="40"/>
      <c r="CD150" s="40"/>
      <c r="CE150" s="40"/>
      <c r="CF150" s="40"/>
      <c r="CG150" s="40"/>
      <c r="CH150" s="40"/>
      <c r="CI150" s="40"/>
      <c r="CJ150" s="40"/>
      <c r="CK150" s="40"/>
    </row>
    <row r="151" spans="35:117" s="3" customFormat="1" ht="15.75" customHeight="1" x14ac:dyDescent="0.25">
      <c r="AI151" s="40"/>
      <c r="AJ151" s="43"/>
      <c r="AK151" s="43"/>
      <c r="AL151" s="43"/>
      <c r="AM151" s="43"/>
      <c r="AN151" s="43"/>
      <c r="AO151" s="43"/>
      <c r="AP151" s="43"/>
      <c r="BF151" s="40"/>
      <c r="BG151" s="40"/>
      <c r="BI151" s="40"/>
      <c r="BK151" s="40"/>
      <c r="BM151" s="40"/>
      <c r="CD151" s="40"/>
      <c r="CE151" s="40"/>
      <c r="CF151" s="40"/>
      <c r="CG151" s="40"/>
      <c r="CH151" s="40"/>
      <c r="CI151" s="40"/>
      <c r="CJ151" s="40"/>
      <c r="CK151" s="40"/>
    </row>
    <row r="152" spans="35:117" s="3" customFormat="1" ht="15.75" customHeight="1" x14ac:dyDescent="0.25">
      <c r="AI152" s="40"/>
      <c r="AJ152" s="43"/>
      <c r="AK152" s="43"/>
      <c r="AL152" s="43"/>
      <c r="AM152" s="43"/>
      <c r="AN152" s="43"/>
      <c r="AO152" s="43"/>
      <c r="AP152" s="43"/>
      <c r="BF152" s="40"/>
      <c r="BG152" s="40"/>
      <c r="BI152" s="40"/>
      <c r="BK152" s="40"/>
      <c r="BM152" s="40"/>
      <c r="CD152" s="40"/>
      <c r="CE152" s="40"/>
      <c r="CF152" s="40"/>
      <c r="CG152" s="40"/>
      <c r="CH152" s="40"/>
      <c r="CI152" s="40"/>
      <c r="CJ152" s="40"/>
      <c r="CK152" s="40"/>
    </row>
    <row r="153" spans="35:117" s="3" customFormat="1" ht="15.75" customHeight="1" x14ac:dyDescent="0.25">
      <c r="AI153" s="40"/>
      <c r="BF153" s="40"/>
      <c r="BG153" s="40"/>
      <c r="BI153" s="40"/>
      <c r="BK153" s="40"/>
      <c r="BM153" s="40"/>
      <c r="CD153" s="40"/>
      <c r="CE153" s="40"/>
      <c r="CF153" s="40"/>
      <c r="CG153" s="40"/>
      <c r="CH153" s="40"/>
      <c r="CI153" s="40"/>
      <c r="CJ153" s="40"/>
      <c r="CK153" s="40"/>
    </row>
    <row r="154" spans="35:117" s="3" customFormat="1" ht="15.75" customHeight="1" x14ac:dyDescent="0.25">
      <c r="AI154" s="40"/>
      <c r="BF154" s="40"/>
      <c r="BG154" s="40"/>
      <c r="BI154" s="40"/>
      <c r="BK154" s="40"/>
      <c r="BM154" s="40"/>
      <c r="CD154" s="40"/>
      <c r="CE154" s="40"/>
      <c r="CF154" s="40"/>
      <c r="CG154" s="40"/>
      <c r="CH154" s="40"/>
      <c r="CI154" s="40"/>
      <c r="CJ154" s="40"/>
      <c r="CK154" s="40"/>
    </row>
    <row r="155" spans="35:117" s="3" customFormat="1" ht="15.75" customHeight="1" x14ac:dyDescent="0.25">
      <c r="AI155" s="40"/>
      <c r="BF155" s="40"/>
      <c r="BG155" s="40"/>
      <c r="BI155" s="40"/>
      <c r="BK155" s="40"/>
      <c r="BM155" s="40"/>
      <c r="CD155" s="40"/>
      <c r="CE155" s="40"/>
      <c r="CF155" s="40"/>
      <c r="CG155" s="40"/>
      <c r="CH155" s="40"/>
      <c r="CI155" s="40"/>
      <c r="CJ155" s="40"/>
      <c r="CK155" s="40"/>
    </row>
    <row r="156" spans="35:117" s="3" customFormat="1" ht="15.75" customHeight="1" x14ac:dyDescent="0.25">
      <c r="AI156" s="40"/>
      <c r="BF156" s="40"/>
      <c r="BG156" s="40"/>
      <c r="BI156" s="40"/>
      <c r="BK156" s="40"/>
      <c r="BM156" s="40"/>
      <c r="CD156" s="40"/>
      <c r="CE156" s="40"/>
      <c r="CF156" s="40"/>
      <c r="CG156" s="40"/>
      <c r="CH156" s="40"/>
      <c r="CI156" s="40"/>
      <c r="CJ156" s="40"/>
      <c r="CK156" s="40"/>
    </row>
    <row r="157" spans="35:117" s="3" customFormat="1" ht="15.75" customHeight="1" x14ac:dyDescent="0.25">
      <c r="AI157" s="40"/>
      <c r="BF157" s="40"/>
      <c r="BG157" s="40"/>
      <c r="BI157" s="40"/>
      <c r="BK157" s="40"/>
      <c r="BM157" s="40"/>
      <c r="CD157" s="40"/>
      <c r="CE157" s="40"/>
      <c r="CF157" s="40"/>
      <c r="CG157" s="40"/>
      <c r="CH157" s="40"/>
      <c r="CI157" s="40"/>
      <c r="CJ157" s="40"/>
      <c r="CK157" s="40"/>
    </row>
    <row r="158" spans="35:117" s="3" customFormat="1" ht="15.75" customHeight="1" x14ac:dyDescent="0.25">
      <c r="AI158" s="40"/>
      <c r="BF158" s="40"/>
      <c r="BG158" s="40"/>
      <c r="BI158" s="40"/>
      <c r="BK158" s="40"/>
      <c r="BM158" s="40"/>
      <c r="CD158" s="40"/>
      <c r="CE158" s="40"/>
      <c r="CF158" s="40"/>
      <c r="CG158" s="40"/>
      <c r="CH158" s="40"/>
      <c r="CI158" s="40"/>
      <c r="CJ158" s="40"/>
      <c r="CK158" s="40"/>
    </row>
    <row r="159" spans="35:117" s="3" customFormat="1" ht="15.75" customHeight="1" x14ac:dyDescent="0.25">
      <c r="AI159" s="40"/>
      <c r="BF159" s="40"/>
      <c r="BG159" s="40"/>
      <c r="BI159" s="40"/>
      <c r="BK159" s="40"/>
      <c r="BM159" s="40"/>
      <c r="CD159" s="40"/>
      <c r="CE159" s="40"/>
      <c r="CF159" s="40"/>
      <c r="CG159" s="40"/>
      <c r="CH159" s="40"/>
      <c r="CI159" s="40"/>
      <c r="CJ159" s="40"/>
      <c r="CK159" s="40"/>
    </row>
    <row r="160" spans="35:117" s="3" customFormat="1" ht="15.75" customHeight="1" x14ac:dyDescent="0.25">
      <c r="AI160" s="40"/>
      <c r="BF160" s="40"/>
      <c r="BG160" s="40"/>
      <c r="BI160" s="40"/>
      <c r="BK160" s="40"/>
      <c r="BM160" s="40"/>
      <c r="CD160" s="40"/>
      <c r="CE160" s="40"/>
      <c r="CF160" s="40"/>
      <c r="CG160" s="40"/>
      <c r="CH160" s="40"/>
      <c r="CI160" s="40"/>
      <c r="CJ160" s="40"/>
      <c r="CK160" s="40"/>
    </row>
    <row r="161" spans="82:89" ht="15.75" customHeight="1" x14ac:dyDescent="0.25">
      <c r="CD161" s="40"/>
      <c r="CE161" s="40"/>
      <c r="CF161" s="40"/>
      <c r="CG161" s="40"/>
      <c r="CH161" s="40"/>
      <c r="CI161" s="40"/>
      <c r="CJ161" s="40"/>
      <c r="CK161" s="40"/>
    </row>
    <row r="162" spans="82:89" ht="15.75" customHeight="1" x14ac:dyDescent="0.25">
      <c r="CD162" s="40"/>
      <c r="CE162" s="40"/>
      <c r="CF162" s="40"/>
      <c r="CG162" s="40"/>
      <c r="CH162" s="40"/>
      <c r="CI162" s="40"/>
      <c r="CJ162" s="40"/>
      <c r="CK162" s="40"/>
    </row>
    <row r="163" spans="82:89" ht="15.75" customHeight="1" x14ac:dyDescent="0.25">
      <c r="CD163" s="40"/>
      <c r="CE163" s="40"/>
      <c r="CF163" s="40"/>
      <c r="CG163" s="40"/>
      <c r="CH163" s="40"/>
      <c r="CI163" s="40"/>
      <c r="CJ163" s="40"/>
      <c r="CK163" s="40"/>
    </row>
    <row r="164" spans="82:89" ht="15.75" customHeight="1" x14ac:dyDescent="0.25">
      <c r="CD164" s="40"/>
      <c r="CE164" s="40"/>
      <c r="CF164" s="40"/>
      <c r="CG164" s="40"/>
      <c r="CH164" s="40"/>
      <c r="CI164" s="40"/>
      <c r="CJ164" s="40"/>
      <c r="CK164" s="40"/>
    </row>
    <row r="165" spans="82:89" ht="15.75" customHeight="1" x14ac:dyDescent="0.25">
      <c r="CD165" s="40"/>
      <c r="CE165" s="40"/>
      <c r="CF165" s="40"/>
      <c r="CG165" s="40"/>
      <c r="CH165" s="40"/>
      <c r="CI165" s="40"/>
      <c r="CJ165" s="40"/>
      <c r="CK165" s="40"/>
    </row>
    <row r="166" spans="82:89" ht="15.75" customHeight="1" x14ac:dyDescent="0.25">
      <c r="CD166" s="40"/>
      <c r="CE166" s="40"/>
      <c r="CF166" s="40"/>
      <c r="CG166" s="40"/>
      <c r="CH166" s="40"/>
      <c r="CI166" s="40"/>
      <c r="CJ166" s="40"/>
      <c r="CK166" s="40"/>
    </row>
    <row r="167" spans="82:89" ht="15.75" customHeight="1" x14ac:dyDescent="0.25">
      <c r="CD167" s="40"/>
      <c r="CE167" s="40"/>
      <c r="CF167" s="40"/>
      <c r="CG167" s="40"/>
      <c r="CH167" s="40"/>
      <c r="CI167" s="40"/>
      <c r="CJ167" s="40"/>
      <c r="CK167" s="40"/>
    </row>
    <row r="168" spans="82:89" ht="15.75" customHeight="1" x14ac:dyDescent="0.25">
      <c r="CD168" s="40"/>
      <c r="CE168" s="40"/>
      <c r="CF168" s="40"/>
      <c r="CG168" s="40"/>
      <c r="CH168" s="40"/>
      <c r="CI168" s="40"/>
      <c r="CJ168" s="40"/>
      <c r="CK168" s="40"/>
    </row>
  </sheetData>
  <mergeCells count="61">
    <mergeCell ref="V1:W1"/>
    <mergeCell ref="CE55:CJ55"/>
    <mergeCell ref="AK55:AP55"/>
    <mergeCell ref="CE48:CJ48"/>
    <mergeCell ref="AK48:AP48"/>
    <mergeCell ref="BO3:CB3"/>
    <mergeCell ref="AR3:BE3"/>
    <mergeCell ref="CE20:CJ20"/>
    <mergeCell ref="L43:Q43"/>
    <mergeCell ref="CE41:CJ41"/>
    <mergeCell ref="AK41:AP41"/>
    <mergeCell ref="B5:B11"/>
    <mergeCell ref="B12:B18"/>
    <mergeCell ref="B26:B32"/>
    <mergeCell ref="B33:B39"/>
    <mergeCell ref="AK34:AP34"/>
    <mergeCell ref="BH7:BM7"/>
    <mergeCell ref="BH14:BM14"/>
    <mergeCell ref="CE27:CJ27"/>
    <mergeCell ref="BH21:BM21"/>
    <mergeCell ref="BH28:BM28"/>
    <mergeCell ref="AK27:AP27"/>
    <mergeCell ref="AK20:AP20"/>
    <mergeCell ref="B19:B25"/>
    <mergeCell ref="DT6:EA6"/>
    <mergeCell ref="BH63:BL63"/>
    <mergeCell ref="CE62:CI62"/>
    <mergeCell ref="G44:G45"/>
    <mergeCell ref="G46:G47"/>
    <mergeCell ref="G48:G49"/>
    <mergeCell ref="G50:G51"/>
    <mergeCell ref="BH42:BM42"/>
    <mergeCell ref="BH49:BM49"/>
    <mergeCell ref="CE34:CJ34"/>
    <mergeCell ref="K5:K11"/>
    <mergeCell ref="K12:K18"/>
    <mergeCell ref="K19:K25"/>
    <mergeCell ref="K26:K32"/>
    <mergeCell ref="BH35:BM35"/>
    <mergeCell ref="AK62:AP62"/>
    <mergeCell ref="CE84:CJ84"/>
    <mergeCell ref="CE69:CJ69"/>
    <mergeCell ref="CE77:CJ77"/>
    <mergeCell ref="BH56:BM56"/>
    <mergeCell ref="C54:G54"/>
    <mergeCell ref="F44:F45"/>
    <mergeCell ref="F46:F47"/>
    <mergeCell ref="F48:F49"/>
    <mergeCell ref="F50:F51"/>
    <mergeCell ref="C43:C51"/>
    <mergeCell ref="D44:D45"/>
    <mergeCell ref="D46:D47"/>
    <mergeCell ref="D48:D49"/>
    <mergeCell ref="D50:D51"/>
    <mergeCell ref="CL3:CZ3"/>
    <mergeCell ref="I2:K2"/>
    <mergeCell ref="AK13:AP13"/>
    <mergeCell ref="AK6:AP6"/>
    <mergeCell ref="CE6:CJ6"/>
    <mergeCell ref="CE13:CJ13"/>
    <mergeCell ref="B3:R4"/>
  </mergeCells>
  <conditionalFormatting sqref="C56:G64">
    <cfRule type="expression" dxfId="32" priority="68">
      <formula>$C56=$I$59</formula>
    </cfRule>
  </conditionalFormatting>
  <pageMargins left="0.7" right="0.7" top="0.75" bottom="0.75" header="0.3" footer="0.3"/>
  <pageSetup paperSize="9" orientation="portrait" r:id="rId1"/>
  <ignoredErrors>
    <ignoredError sqref="AE12 DK6:DK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DT69"/>
  <sheetViews>
    <sheetView showGridLines="0" tabSelected="1" zoomScale="70" zoomScaleNormal="70" workbookViewId="0">
      <pane ySplit="4" topLeftCell="A5" activePane="bottomLeft" state="frozen"/>
      <selection pane="bottomLeft"/>
    </sheetView>
  </sheetViews>
  <sheetFormatPr baseColWidth="10" defaultRowHeight="15" x14ac:dyDescent="0.25"/>
  <cols>
    <col min="1" max="2" width="11.42578125" style="71"/>
    <col min="3" max="4" width="5.5703125" style="71" customWidth="1"/>
    <col min="5" max="6" width="11.42578125" style="71"/>
    <col min="7" max="10" width="4.7109375" style="71" customWidth="1"/>
    <col min="11" max="11" width="11.42578125" style="71"/>
    <col min="12" max="12" width="4.7109375" style="71" customWidth="1"/>
    <col min="13" max="16" width="11.42578125" style="71"/>
    <col min="17" max="17" width="5" style="71" customWidth="1"/>
    <col min="18" max="18" width="5.7109375" style="71" customWidth="1"/>
    <col min="19" max="19" width="11.42578125" style="71"/>
    <col min="20" max="20" width="5" style="71" customWidth="1"/>
    <col min="21" max="22" width="11.42578125" style="71"/>
    <col min="23" max="23" width="5" style="71" customWidth="1"/>
    <col min="24" max="25" width="11.42578125" style="71"/>
    <col min="26" max="26" width="5" style="71" customWidth="1"/>
    <col min="27" max="27" width="11.42578125" style="71"/>
    <col min="28" max="28" width="12.42578125" style="71" customWidth="1"/>
    <col min="29" max="29" width="10" style="71" customWidth="1"/>
    <col min="30" max="30" width="12.42578125" style="71" customWidth="1"/>
    <col min="31" max="32" width="11.42578125" style="71" customWidth="1"/>
    <col min="33" max="36" width="6.5703125" style="71" customWidth="1"/>
    <col min="37" max="37" width="13.28515625" style="71" customWidth="1"/>
    <col min="38" max="42" width="13.7109375" style="71" hidden="1" customWidth="1"/>
    <col min="43" max="45" width="13.7109375" style="3" hidden="1" customWidth="1"/>
    <col min="46" max="56" width="13.7109375" style="45" hidden="1" customWidth="1"/>
    <col min="57" max="57" width="13.7109375" style="3" hidden="1" customWidth="1"/>
    <col min="58" max="59" width="13.7109375" style="45" hidden="1" customWidth="1"/>
    <col min="60" max="73" width="13.7109375" style="3" hidden="1" customWidth="1"/>
    <col min="74" max="81" width="13.7109375" style="45" hidden="1" customWidth="1"/>
    <col min="82" max="82" width="13.7109375" style="3" hidden="1" customWidth="1"/>
    <col min="83" max="84" width="13.7109375" style="45" hidden="1" customWidth="1"/>
    <col min="85" max="111" width="13.7109375" style="3" hidden="1" customWidth="1"/>
    <col min="112" max="112" width="25.28515625" style="3" hidden="1" customWidth="1"/>
    <col min="113" max="119" width="13.7109375" style="3" hidden="1" customWidth="1"/>
    <col min="120" max="120" width="13.7109375" style="401" hidden="1" customWidth="1"/>
    <col min="121" max="122" width="13.7109375" style="3" hidden="1" customWidth="1"/>
    <col min="123" max="123" width="13.7109375" style="3" customWidth="1"/>
    <col min="124" max="124" width="16.42578125" style="3" customWidth="1"/>
    <col min="125" max="16384" width="11.42578125" style="71"/>
  </cols>
  <sheetData>
    <row r="1" spans="1:121" ht="15.75" thickBot="1" x14ac:dyDescent="0.3">
      <c r="AO1" s="129"/>
      <c r="AP1" s="129"/>
      <c r="AQ1" s="45"/>
      <c r="AR1" s="45"/>
      <c r="AS1" s="45"/>
      <c r="AT1" s="376"/>
      <c r="AU1" s="376"/>
      <c r="AV1" s="376"/>
      <c r="AW1" s="376"/>
      <c r="AX1" s="376"/>
      <c r="AY1" s="376"/>
      <c r="AZ1" s="376"/>
      <c r="BA1" s="376"/>
      <c r="BB1" s="376"/>
      <c r="BV1" s="376"/>
      <c r="BW1" s="376"/>
      <c r="BX1" s="376"/>
      <c r="BY1" s="376"/>
      <c r="BZ1" s="376"/>
      <c r="CA1" s="376"/>
    </row>
    <row r="2" spans="1:121" ht="15.75" thickBot="1" x14ac:dyDescent="0.3">
      <c r="A2" s="603" t="s">
        <v>122</v>
      </c>
      <c r="B2" s="601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601"/>
      <c r="S2" s="601"/>
      <c r="T2" s="601"/>
      <c r="U2" s="601"/>
      <c r="V2" s="601"/>
      <c r="W2" s="601"/>
      <c r="X2" s="601"/>
      <c r="Y2" s="601"/>
      <c r="Z2" s="601"/>
      <c r="AA2" s="602"/>
      <c r="AO2" s="129"/>
      <c r="AP2" s="129"/>
      <c r="AQ2" s="45"/>
      <c r="AR2" s="45"/>
      <c r="AS2" s="45"/>
      <c r="AT2" s="376"/>
      <c r="AU2" s="376"/>
      <c r="AV2" s="376"/>
      <c r="AW2" s="376"/>
      <c r="AX2" s="376"/>
      <c r="AY2" s="376"/>
      <c r="AZ2" s="376"/>
      <c r="BA2" s="376"/>
      <c r="BB2" s="376"/>
      <c r="BV2" s="376"/>
      <c r="BW2" s="376"/>
      <c r="BX2" s="376"/>
      <c r="BY2" s="376"/>
      <c r="BZ2" s="376"/>
      <c r="CA2" s="376"/>
    </row>
    <row r="3" spans="1:121" ht="15.75" thickBot="1" x14ac:dyDescent="0.3">
      <c r="A3" s="604"/>
      <c r="B3" s="605"/>
      <c r="C3" s="605"/>
      <c r="D3" s="605"/>
      <c r="E3" s="605"/>
      <c r="F3" s="605"/>
      <c r="G3" s="606"/>
      <c r="H3" s="606"/>
      <c r="I3" s="606"/>
      <c r="J3" s="606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5"/>
      <c r="W3" s="605"/>
      <c r="X3" s="605"/>
      <c r="Y3" s="605"/>
      <c r="Z3" s="605"/>
      <c r="AA3" s="607"/>
      <c r="AO3" s="129"/>
      <c r="AP3" s="129"/>
      <c r="AQ3" s="45"/>
      <c r="AR3" s="45"/>
      <c r="AS3" s="45"/>
      <c r="AT3" s="376"/>
      <c r="AU3" s="376"/>
      <c r="AW3" s="525" t="s">
        <v>192</v>
      </c>
      <c r="AX3" s="526"/>
      <c r="AY3" s="526"/>
      <c r="AZ3" s="526"/>
      <c r="BA3" s="526"/>
      <c r="BB3" s="526"/>
      <c r="BC3" s="526"/>
      <c r="BD3" s="526"/>
      <c r="BE3" s="526"/>
      <c r="BF3" s="526"/>
      <c r="BG3" s="526"/>
      <c r="BH3" s="526"/>
      <c r="BI3" s="526"/>
      <c r="BJ3" s="526"/>
      <c r="BK3" s="526"/>
      <c r="BL3" s="526"/>
      <c r="BM3" s="526"/>
      <c r="BN3" s="526"/>
      <c r="BO3" s="526"/>
      <c r="BP3" s="527"/>
      <c r="BQ3" s="45"/>
      <c r="BU3" s="45"/>
      <c r="BV3" s="525" t="s">
        <v>193</v>
      </c>
      <c r="BW3" s="526"/>
      <c r="BX3" s="526"/>
      <c r="BY3" s="526"/>
      <c r="BZ3" s="526"/>
      <c r="CA3" s="526"/>
      <c r="CB3" s="526"/>
      <c r="CC3" s="526"/>
      <c r="CD3" s="526"/>
      <c r="CE3" s="526"/>
      <c r="CF3" s="526"/>
      <c r="CG3" s="526"/>
      <c r="CH3" s="526"/>
      <c r="CI3" s="526"/>
      <c r="CJ3" s="526"/>
      <c r="CK3" s="526"/>
      <c r="CL3" s="526"/>
      <c r="CM3" s="526"/>
      <c r="CN3" s="526"/>
      <c r="CO3" s="527"/>
      <c r="CP3" s="45"/>
      <c r="CT3" s="45"/>
      <c r="CU3" s="525" t="s">
        <v>191</v>
      </c>
      <c r="CV3" s="526"/>
      <c r="CW3" s="527"/>
      <c r="CX3" s="45"/>
      <c r="CY3" s="45"/>
      <c r="CZ3" s="45"/>
      <c r="DA3" s="45"/>
      <c r="DB3" s="45"/>
      <c r="DC3" s="525" t="s">
        <v>201</v>
      </c>
      <c r="DD3" s="526"/>
      <c r="DE3" s="527"/>
      <c r="DF3" s="45"/>
      <c r="DI3" s="45"/>
    </row>
    <row r="4" spans="1:121" ht="15.75" thickBot="1" x14ac:dyDescent="0.3">
      <c r="A4" s="206" t="s">
        <v>107</v>
      </c>
      <c r="B4" s="617" t="s">
        <v>84</v>
      </c>
      <c r="C4" s="596"/>
      <c r="D4" s="596"/>
      <c r="E4" s="596"/>
      <c r="F4" s="424" t="s">
        <v>108</v>
      </c>
      <c r="G4" s="410" t="s">
        <v>197</v>
      </c>
      <c r="H4" s="411" t="s">
        <v>198</v>
      </c>
      <c r="I4" s="410" t="s">
        <v>197</v>
      </c>
      <c r="J4" s="411" t="s">
        <v>198</v>
      </c>
      <c r="K4" s="141"/>
      <c r="L4" s="617" t="s">
        <v>109</v>
      </c>
      <c r="M4" s="596"/>
      <c r="N4" s="597"/>
      <c r="O4" s="97"/>
      <c r="P4" s="635" t="s">
        <v>110</v>
      </c>
      <c r="Q4" s="636"/>
      <c r="R4" s="97"/>
      <c r="S4" s="637" t="s">
        <v>111</v>
      </c>
      <c r="T4" s="636"/>
      <c r="U4" s="97"/>
      <c r="V4" s="635" t="s">
        <v>112</v>
      </c>
      <c r="W4" s="636"/>
      <c r="X4" s="97"/>
      <c r="Y4" s="635" t="s">
        <v>113</v>
      </c>
      <c r="Z4" s="636"/>
      <c r="AA4" s="98"/>
      <c r="AO4" s="129"/>
      <c r="AP4" s="129"/>
      <c r="AQ4" s="45"/>
      <c r="AR4" s="45"/>
      <c r="AS4" s="45"/>
      <c r="AT4" s="376"/>
      <c r="AU4" s="376"/>
      <c r="AW4" s="586" t="s">
        <v>186</v>
      </c>
      <c r="AX4" s="587"/>
      <c r="AY4" s="587"/>
      <c r="AZ4" s="587"/>
      <c r="BA4" s="588"/>
      <c r="BB4" s="3"/>
      <c r="BC4" s="586" t="s">
        <v>184</v>
      </c>
      <c r="BD4" s="588"/>
      <c r="BF4" s="586" t="s">
        <v>190</v>
      </c>
      <c r="BG4" s="587"/>
      <c r="BH4" s="587"/>
      <c r="BI4" s="587"/>
      <c r="BJ4" s="588"/>
      <c r="BK4" s="45"/>
      <c r="BL4" s="586" t="str">
        <f>"Somme +/-"</f>
        <v>Somme +/-</v>
      </c>
      <c r="BM4" s="588"/>
      <c r="BO4" s="525" t="s">
        <v>185</v>
      </c>
      <c r="BP4" s="527"/>
      <c r="BQ4" s="45"/>
      <c r="BR4" s="525" t="s">
        <v>187</v>
      </c>
      <c r="BS4" s="526"/>
      <c r="BT4" s="527"/>
      <c r="BU4" s="45"/>
      <c r="BV4" s="586" t="s">
        <v>186</v>
      </c>
      <c r="BW4" s="587"/>
      <c r="BX4" s="587"/>
      <c r="BY4" s="587"/>
      <c r="BZ4" s="588"/>
      <c r="CA4" s="3"/>
      <c r="CB4" s="586" t="s">
        <v>184</v>
      </c>
      <c r="CC4" s="588"/>
      <c r="CE4" s="586" t="str">
        <f>"+/-"</f>
        <v>+/-</v>
      </c>
      <c r="CF4" s="587"/>
      <c r="CG4" s="587"/>
      <c r="CH4" s="587"/>
      <c r="CI4" s="588"/>
      <c r="CJ4" s="45"/>
      <c r="CK4" s="586" t="str">
        <f>"Somme +/-"</f>
        <v>Somme +/-</v>
      </c>
      <c r="CL4" s="588"/>
      <c r="CM4" s="45"/>
      <c r="CN4" s="525" t="s">
        <v>185</v>
      </c>
      <c r="CO4" s="527"/>
      <c r="CP4" s="45"/>
      <c r="CQ4" s="525" t="s">
        <v>187</v>
      </c>
      <c r="CR4" s="526"/>
      <c r="CS4" s="527"/>
      <c r="CT4" s="45"/>
      <c r="CU4" s="4" t="s">
        <v>86</v>
      </c>
      <c r="CV4" s="75" t="str">
        <f>"+/-"</f>
        <v>+/-</v>
      </c>
      <c r="CW4" s="19" t="s">
        <v>101</v>
      </c>
      <c r="CY4" s="525" t="s">
        <v>187</v>
      </c>
      <c r="CZ4" s="526"/>
      <c r="DA4" s="527"/>
      <c r="DB4" s="45"/>
      <c r="DC4" s="4" t="s">
        <v>86</v>
      </c>
      <c r="DD4" s="4" t="s">
        <v>202</v>
      </c>
      <c r="DE4" s="4" t="s">
        <v>203</v>
      </c>
      <c r="DF4" s="45"/>
      <c r="DG4" s="525" t="s">
        <v>204</v>
      </c>
      <c r="DH4" s="526"/>
      <c r="DI4" s="527"/>
      <c r="DJ4" s="43"/>
      <c r="DK4" s="525" t="s">
        <v>194</v>
      </c>
      <c r="DL4" s="526"/>
      <c r="DM4" s="526"/>
      <c r="DN4" s="526"/>
      <c r="DO4" s="526"/>
      <c r="DP4" s="526"/>
      <c r="DQ4" s="527"/>
    </row>
    <row r="5" spans="1:121" ht="15.75" thickBot="1" x14ac:dyDescent="0.3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8"/>
      <c r="AC5" s="598" t="s">
        <v>126</v>
      </c>
      <c r="AD5" s="599"/>
      <c r="AE5" s="599"/>
      <c r="AF5" s="599"/>
      <c r="AG5" s="599"/>
      <c r="AH5" s="601"/>
      <c r="AI5" s="602"/>
      <c r="AL5" s="129"/>
      <c r="AO5" s="129"/>
      <c r="AP5" s="129"/>
      <c r="AQ5" s="45"/>
      <c r="AR5" s="45"/>
      <c r="AS5" s="45"/>
      <c r="AX5" s="3"/>
      <c r="AY5" s="3"/>
      <c r="AZ5" s="3"/>
      <c r="BA5" s="3"/>
      <c r="BB5" s="3"/>
      <c r="BD5" s="3"/>
      <c r="BG5" s="3"/>
      <c r="BL5" s="45"/>
      <c r="BO5" s="45"/>
      <c r="BW5" s="3"/>
      <c r="BX5" s="3"/>
      <c r="BY5" s="3"/>
      <c r="BZ5" s="3"/>
      <c r="CA5" s="3"/>
      <c r="CC5" s="3"/>
      <c r="CF5" s="3"/>
      <c r="CK5" s="45"/>
      <c r="CN5" s="45"/>
    </row>
    <row r="6" spans="1:121" ht="15.75" thickBot="1" x14ac:dyDescent="0.3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404" t="s">
        <v>168</v>
      </c>
      <c r="P6" s="612" t="str">
        <f>M13</f>
        <v/>
      </c>
      <c r="Q6" s="613"/>
      <c r="R6" s="371"/>
      <c r="S6" s="97"/>
      <c r="T6" s="97"/>
      <c r="U6" s="97"/>
      <c r="V6" s="97"/>
      <c r="W6" s="97"/>
      <c r="X6" s="97"/>
      <c r="Y6" s="97"/>
      <c r="Z6" s="97"/>
      <c r="AA6" s="98"/>
      <c r="AC6" s="154" t="s">
        <v>107</v>
      </c>
      <c r="AD6" s="324" t="s">
        <v>127</v>
      </c>
      <c r="AE6" s="325" t="s">
        <v>94</v>
      </c>
      <c r="AF6" s="402" t="str">
        <f>"+/-"</f>
        <v>+/-</v>
      </c>
      <c r="AG6" s="402" t="s">
        <v>101</v>
      </c>
      <c r="AH6" s="324" t="s">
        <v>197</v>
      </c>
      <c r="AI6" s="489" t="s">
        <v>198</v>
      </c>
      <c r="AL6" s="595" t="s">
        <v>103</v>
      </c>
      <c r="AM6" s="596"/>
      <c r="AN6" s="597"/>
      <c r="AO6" s="129"/>
      <c r="AP6" s="129"/>
      <c r="AQ6" s="45"/>
      <c r="AR6" s="45" t="str">
        <f>AQ7</f>
        <v>France</v>
      </c>
      <c r="AS6" s="3" t="str">
        <f>AQ8</f>
        <v>Roumanie</v>
      </c>
      <c r="AT6" s="3" t="str">
        <f>AQ9</f>
        <v>Albanie</v>
      </c>
      <c r="AU6" s="3" t="str">
        <f>AQ10</f>
        <v>Suisse</v>
      </c>
      <c r="AX6" s="45" t="str">
        <f>AW7</f>
        <v>France</v>
      </c>
      <c r="AY6" s="3" t="str">
        <f>AW8</f>
        <v>Roumanie</v>
      </c>
      <c r="AZ6" s="3" t="str">
        <f>AW9</f>
        <v>Albanie</v>
      </c>
      <c r="BA6" s="3" t="str">
        <f>AW10</f>
        <v>Suisse</v>
      </c>
      <c r="BB6" s="3"/>
      <c r="BG6" s="45" t="str">
        <f>BF7</f>
        <v>France</v>
      </c>
      <c r="BH6" s="3" t="str">
        <f t="shared" ref="BH6" si="0">BF8</f>
        <v>Roumanie</v>
      </c>
      <c r="BI6" s="3" t="str">
        <f t="shared" ref="BI6" si="1">BF9</f>
        <v>Albanie</v>
      </c>
      <c r="BJ6" s="3" t="str">
        <f>BF10</f>
        <v>Suisse</v>
      </c>
      <c r="BL6" s="45"/>
      <c r="BM6" s="45"/>
      <c r="BO6" s="45"/>
      <c r="BP6" s="45"/>
      <c r="BQ6" s="45"/>
      <c r="BR6" s="45"/>
      <c r="BS6" s="45" t="s">
        <v>188</v>
      </c>
      <c r="BT6" s="45" t="s">
        <v>115</v>
      </c>
      <c r="BU6" s="45"/>
      <c r="BW6" s="45" t="str">
        <f>BV7</f>
        <v>France</v>
      </c>
      <c r="BX6" s="3" t="str">
        <f>BV8</f>
        <v>Roumanie</v>
      </c>
      <c r="BY6" s="3" t="str">
        <f>BV9</f>
        <v>Albanie</v>
      </c>
      <c r="BZ6" s="3" t="str">
        <f>BV10</f>
        <v>Suisse</v>
      </c>
      <c r="CA6" s="3"/>
      <c r="CF6" s="45" t="str">
        <f>CE7</f>
        <v>France</v>
      </c>
      <c r="CG6" s="3" t="str">
        <f t="shared" ref="CG6" si="2">CE8</f>
        <v>Roumanie</v>
      </c>
      <c r="CH6" s="3" t="str">
        <f t="shared" ref="CH6" si="3">CE9</f>
        <v>Albanie</v>
      </c>
      <c r="CI6" s="3" t="str">
        <f>CE10</f>
        <v>Suisse</v>
      </c>
      <c r="CK6" s="45"/>
      <c r="CL6" s="45"/>
      <c r="CN6" s="45"/>
      <c r="CO6" s="45"/>
      <c r="CP6" s="45"/>
      <c r="CQ6" s="45"/>
      <c r="CR6" s="45" t="s">
        <v>188</v>
      </c>
      <c r="CS6" s="45" t="s">
        <v>115</v>
      </c>
      <c r="CT6" s="45"/>
      <c r="CV6" s="45"/>
      <c r="CW6" s="45"/>
      <c r="CY6" s="45"/>
      <c r="CZ6" s="45" t="s">
        <v>188</v>
      </c>
      <c r="DA6" s="45" t="s">
        <v>115</v>
      </c>
      <c r="DB6" s="45"/>
      <c r="DG6" s="45"/>
      <c r="DH6" s="45" t="s">
        <v>188</v>
      </c>
      <c r="DI6" s="45" t="s">
        <v>115</v>
      </c>
      <c r="DK6" s="376" t="s">
        <v>86</v>
      </c>
      <c r="DL6" s="377" t="s">
        <v>94</v>
      </c>
      <c r="DM6" s="377" t="s">
        <v>205</v>
      </c>
      <c r="DN6" s="377" t="s">
        <v>206</v>
      </c>
      <c r="DO6" s="377" t="s">
        <v>200</v>
      </c>
      <c r="DP6" s="376" t="s">
        <v>116</v>
      </c>
      <c r="DQ6" s="377" t="s">
        <v>86</v>
      </c>
    </row>
    <row r="7" spans="1:121" x14ac:dyDescent="0.25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404"/>
      <c r="P7" s="608"/>
      <c r="Q7" s="610"/>
      <c r="R7" s="371"/>
      <c r="S7" s="97"/>
      <c r="T7" s="97"/>
      <c r="U7" s="97"/>
      <c r="V7" s="97"/>
      <c r="W7" s="97"/>
      <c r="X7" s="97"/>
      <c r="Y7" s="97"/>
      <c r="Z7" s="97"/>
      <c r="AA7" s="98"/>
      <c r="AC7" s="221" t="s">
        <v>114</v>
      </c>
      <c r="AD7" s="375" t="str">
        <f>M14</f>
        <v/>
      </c>
      <c r="AE7" s="212">
        <f>N14</f>
        <v>0</v>
      </c>
      <c r="AF7" s="212">
        <f>IF(AD7&lt;&gt;"",VLOOKUP(AD7,CU7:CV10,2,FALSE),0)</f>
        <v>0</v>
      </c>
      <c r="AG7" s="486">
        <f>IF(AD7&lt;&gt;"",VLOOKUP(AD7,CU7:CW10,3,FALSE),0)</f>
        <v>0</v>
      </c>
      <c r="AH7" s="490">
        <f>IF(AD7&lt;&gt;"",VLOOKUP(AD7,DC7:DE10,2,FALSE),0)</f>
        <v>0</v>
      </c>
      <c r="AI7" s="491">
        <f>IF(AD7&lt;&gt;"",VLOOKUP(AD7,DC7:DE10,3,FALSE),0)</f>
        <v>0</v>
      </c>
      <c r="AL7" s="329">
        <f>SUM(AE7,AF7/10^2,AG7/10^4,-(AH7+3*AI7)/10^6)</f>
        <v>0</v>
      </c>
      <c r="AM7" s="423" t="str">
        <f>M14</f>
        <v/>
      </c>
      <c r="AN7" s="213" t="s">
        <v>114</v>
      </c>
      <c r="AO7" s="129"/>
      <c r="AP7" s="129"/>
      <c r="AQ7" s="45" t="str">
        <f>B11</f>
        <v>France</v>
      </c>
      <c r="AR7" s="493"/>
      <c r="AS7" s="45">
        <f>C11</f>
        <v>0</v>
      </c>
      <c r="AT7" s="45">
        <f>C12</f>
        <v>0</v>
      </c>
      <c r="AU7" s="45">
        <f>C13</f>
        <v>0</v>
      </c>
      <c r="AW7" s="45" t="str">
        <f>IF(OR(VLOOKUP(B11,DK7:DL10,2,FALSE)=DL8,VLOOKUP(B11,DK7:DL10,2,FALSE)=DL9,VLOOKUP(B11,DK7:DL10,2,FALSE)=DL10),B11,"")</f>
        <v>France</v>
      </c>
      <c r="AX7" s="3"/>
      <c r="AY7" s="3" t="str">
        <f>IF(AND(AW7&lt;&gt;"",AY6&lt;&gt;""),IF(VLOOKUP(AW7,DK7:DL10,2,FALSE)=VLOOKUP(AY6,DK7:DL10,2,FALSE),IF(AS7&gt;AR8,"Vainqueur",IF(AS7&lt;AR8,"Perdant","Egalité")),"Pas d'égalité"),"")</f>
        <v>Egalité</v>
      </c>
      <c r="AZ7" s="3" t="str">
        <f>IF(AND(AW7&lt;&gt;"",AZ6&lt;&gt;""),IF(VLOOKUP(AW7,DK7:DL10,2,FALSE)=VLOOKUP(AZ6,DK7:DL10,2,FALSE),IF(AT7&gt;AR9,"Vainqueur",IF(AT7&lt;AR9,"Perdant","Egalité")),"Pas d'égalité"),"")</f>
        <v>Egalité</v>
      </c>
      <c r="BA7" s="3" t="str">
        <f>IF(AND(AW7&lt;&gt;"",BA6&lt;&gt;""),IF(VLOOKUP(AW7,DK7:DL10,2,FALSE)=VLOOKUP(BA6,DK7:DL10,2,FALSE),IF(AU7&gt;AR10,"Vainqueur",IF(AU7&lt;AR10,"Perdant","Egalité")),"Pas d'égalité"),"")</f>
        <v>Egalité</v>
      </c>
      <c r="BB7" s="3"/>
      <c r="BC7" s="45" t="str">
        <f>AW7</f>
        <v>France</v>
      </c>
      <c r="BD7" s="3">
        <f>IF(BC7&lt;&gt;"",3*COUNTIF(AX7:BA7,"Vainqueur")+COUNTIF(AX7:BA7,"Egalité"),"")</f>
        <v>3</v>
      </c>
      <c r="BF7" s="45" t="str">
        <f>AW7</f>
        <v>France</v>
      </c>
      <c r="BG7" s="3"/>
      <c r="BH7" s="3">
        <f>IF(OR(AY7="Vainqueur",AY7="Perdant",AY7="Egalité"),AS7,"")</f>
        <v>0</v>
      </c>
      <c r="BI7" s="3">
        <f t="shared" ref="BI7:BI8" si="4">IF(OR(AZ7="Vainqueur",AZ7="Perdant",AZ7="Egalité"),AT7,"")</f>
        <v>0</v>
      </c>
      <c r="BJ7" s="3">
        <f t="shared" ref="BJ7" si="5">IF(OR(BA7="Vainqueur",BA7="Perdant",BA7="Egalité"),AU7,"")</f>
        <v>0</v>
      </c>
      <c r="BL7" s="45" t="str">
        <f>AW7</f>
        <v>France</v>
      </c>
      <c r="BM7" s="3">
        <f>IF(BL7&lt;&gt;"",SUM(BG7:BJ7)-SUM(BG7:BG10),"")</f>
        <v>0</v>
      </c>
      <c r="BO7" s="45" t="str">
        <f>BF7</f>
        <v>France</v>
      </c>
      <c r="BP7" s="3">
        <f>IF(BO7&lt;&gt;"",SUM(BG7:BJ7),"")</f>
        <v>0</v>
      </c>
      <c r="BR7" s="3" t="str">
        <f>B11</f>
        <v>France</v>
      </c>
      <c r="BS7" s="45">
        <f>IF(BD7&lt;&gt;"",SUM(DL7,BD7/10^2,BM7/10^4,BP7/10^6),DL7)</f>
        <v>0.03</v>
      </c>
      <c r="BT7" s="45">
        <f>RANK(BS7,BS7:BS10)</f>
        <v>1</v>
      </c>
      <c r="BV7" s="45" t="str">
        <f>IF(OR(VLOOKUP(B11,BR7:BS10,2,FALSE)=BS8,VLOOKUP(B11,BR7:BS10,2,FALSE)=BS9,VLOOKUP(B11,BR7:BS10,2,FALSE)=BS10),B11,"")</f>
        <v>France</v>
      </c>
      <c r="BW7" s="3"/>
      <c r="BX7" s="3" t="str">
        <f>IF(AND(BV7&lt;&gt;"",BX6&lt;&gt;""),IF(VLOOKUP(BV7,BR7:BS10,2,FALSE)=VLOOKUP(BX6,BR7:BS10,2,FALSE),IF(AS7&gt;AR8,"Vainqueur",IF(AS7&lt;AR8,"Perdant","Egalité")),"Pas d'égalité"),"")</f>
        <v>Egalité</v>
      </c>
      <c r="BY7" s="3" t="str">
        <f>IF(AND(BV7&lt;&gt;"",BY6&lt;&gt;""),IF(VLOOKUP(BV7,BR7:BS10,2,FALSE)=VLOOKUP(BY6,BR7:BS10,2,FALSE),IF(AT7&gt;AR9,"Vainqueur",IF(AT7&lt;AR9,"Perdant","Egalité")),"Pas d'égalité"),"")</f>
        <v>Egalité</v>
      </c>
      <c r="BZ7" s="3" t="str">
        <f>IF(AND(BV7&lt;&gt;"",BZ6&lt;&gt;""),IF(VLOOKUP(BV7,BR7:BS10,2,FALSE)=VLOOKUP(BZ6,BR7:BS10,2,FALSE),IF(AU7&gt;AR10,"Vainqueur",IF(AU7&lt;AR10,"Perdant","Egalité")),"Pas d'égalité"),"")</f>
        <v>Egalité</v>
      </c>
      <c r="CA7" s="3"/>
      <c r="CB7" s="45" t="str">
        <f>BV7</f>
        <v>France</v>
      </c>
      <c r="CC7" s="3">
        <f>IF(CB7&lt;&gt;"",3*COUNTIF(BW7:BZ7,"Vainqueur")+COUNTIF(BW7:BZ7,"Egalité"),"")</f>
        <v>3</v>
      </c>
      <c r="CE7" s="45" t="str">
        <f>BV7</f>
        <v>France</v>
      </c>
      <c r="CF7" s="3"/>
      <c r="CG7" s="3">
        <f>IF(OR(BX7="Vainqueur",BX7="Perdant",BX7="Egalité"),AS7,"")</f>
        <v>0</v>
      </c>
      <c r="CH7" s="3">
        <f>IF(OR(BY7="Vainqueur",BY7="Perdant",BY7="Egalité"),AT7,"")</f>
        <v>0</v>
      </c>
      <c r="CI7" s="3">
        <f>IF(OR(BZ7="Vainqueur",BZ7="Perdant",BZ7="Egalité"),AU7,"")</f>
        <v>0</v>
      </c>
      <c r="CK7" s="45" t="str">
        <f>BV7</f>
        <v>France</v>
      </c>
      <c r="CL7" s="3">
        <f>IF(CK7&lt;&gt;"",SUM(CF7:CI7)-SUM(CF7:CF10),"")</f>
        <v>0</v>
      </c>
      <c r="CN7" s="45" t="str">
        <f>CE7</f>
        <v>France</v>
      </c>
      <c r="CO7" s="3">
        <f>IF(CN7&lt;&gt;"",SUM(CF7:CI7),"")</f>
        <v>0</v>
      </c>
      <c r="CQ7" s="3" t="str">
        <f>B11</f>
        <v>France</v>
      </c>
      <c r="CR7" s="45">
        <f>IF(CC7&lt;&gt;"",SUM(BS7,CC7/10^8,CL7/10^9,CO7/10^10),BS7)</f>
        <v>3.000003E-2</v>
      </c>
      <c r="CS7" s="45">
        <f>RANK(CR7,CR7:CR10)</f>
        <v>1</v>
      </c>
      <c r="CU7" s="3" t="str">
        <f>B11</f>
        <v>France</v>
      </c>
      <c r="CV7" s="3">
        <f>SUM(AR7:AU7)-SUM(AR7:AR10)</f>
        <v>0</v>
      </c>
      <c r="CW7" s="3">
        <f>SUM(AR7:AU7)</f>
        <v>0</v>
      </c>
      <c r="CY7" s="3" t="str">
        <f>B11</f>
        <v>France</v>
      </c>
      <c r="CZ7" s="45">
        <f>IF(OR(CR7=CR8,CR7=CR9,CR7=CR10),SUM(CR7,CV7/10^12,CW7/10^14),CR7)</f>
        <v>3.000003E-2</v>
      </c>
      <c r="DA7" s="45">
        <f>RANK(CZ7,CZ7:CZ10)</f>
        <v>1</v>
      </c>
      <c r="DB7" s="45"/>
      <c r="DC7" s="45" t="str">
        <f>B11</f>
        <v>France</v>
      </c>
      <c r="DD7" s="45">
        <f>SUM(G11,G12,G13)</f>
        <v>4</v>
      </c>
      <c r="DE7" s="45">
        <f>SUM(H11,H12,H13)</f>
        <v>6</v>
      </c>
      <c r="DG7" s="3" t="str">
        <f>B11</f>
        <v>France</v>
      </c>
      <c r="DH7" s="45">
        <f>IF(OR(CZ7=CZ8,CZ7=CZ9,CZ7=CZ10),SUM(CZ7,(-DD7-3*DE7)/10^15),CZ7)</f>
        <v>3.0000029999978001E-2</v>
      </c>
      <c r="DI7" s="45">
        <f>RANK(DH7,DH7:DH10)</f>
        <v>1</v>
      </c>
      <c r="DK7" s="376" t="str">
        <f>B11</f>
        <v>France</v>
      </c>
      <c r="DL7" s="377">
        <f>COUNTIF(F11:F16,B11)*3+COUNTIF(F11:F13,"Égalité")</f>
        <v>0</v>
      </c>
      <c r="DM7" s="377">
        <f>BS7</f>
        <v>0.03</v>
      </c>
      <c r="DN7" s="376">
        <f>CR7</f>
        <v>3.000003E-2</v>
      </c>
      <c r="DO7" s="376">
        <f>CZ7</f>
        <v>3.000003E-2</v>
      </c>
      <c r="DP7" s="401">
        <f>DH7</f>
        <v>3.0000029999978001E-2</v>
      </c>
      <c r="DQ7" s="377" t="str">
        <f>B11</f>
        <v>France</v>
      </c>
    </row>
    <row r="8" spans="1:121" ht="15.75" thickBot="1" x14ac:dyDescent="0.3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403"/>
      <c r="P8" s="608" t="str">
        <f>M25</f>
        <v/>
      </c>
      <c r="Q8" s="610"/>
      <c r="R8" s="97"/>
      <c r="S8" s="97"/>
      <c r="T8" s="97"/>
      <c r="U8" s="97"/>
      <c r="V8" s="97"/>
      <c r="W8" s="97"/>
      <c r="X8" s="97"/>
      <c r="Y8" s="97"/>
      <c r="Z8" s="97"/>
      <c r="AA8" s="98"/>
      <c r="AC8" s="73" t="s">
        <v>117</v>
      </c>
      <c r="AD8" s="373" t="str">
        <f>M20</f>
        <v/>
      </c>
      <c r="AE8" s="211">
        <f>N20</f>
        <v>0</v>
      </c>
      <c r="AF8" s="211">
        <f>IF(AD8&lt;&gt;"",VLOOKUP(AD8,CU13:CV16,2,FALSE),0)</f>
        <v>0</v>
      </c>
      <c r="AG8" s="487">
        <f>IF(AD8&lt;&gt;"",VLOOKUP(AD8,CU13:CW16,3,FALSE),0)</f>
        <v>0</v>
      </c>
      <c r="AH8" s="413">
        <f>IF(AD8&lt;&gt;"",VLOOKUP(AD8,DC13:DE16,2,FALSE),0)</f>
        <v>0</v>
      </c>
      <c r="AI8" s="414">
        <f>IF(AD8&lt;&gt;"",VLOOKUP(AD8,DC13:DE16,3,FALSE),0)</f>
        <v>0</v>
      </c>
      <c r="AL8" s="219">
        <f>SUM(AE8,AF8/10^2,AG8/10^4,-(AH8+3*AI8)/10^6)</f>
        <v>0</v>
      </c>
      <c r="AM8" s="217" t="str">
        <f>M20</f>
        <v/>
      </c>
      <c r="AN8" s="214" t="s">
        <v>117</v>
      </c>
      <c r="AO8" s="129"/>
      <c r="AP8" s="129"/>
      <c r="AQ8" s="45" t="str">
        <f>B14</f>
        <v>Roumanie</v>
      </c>
      <c r="AR8" s="45">
        <f>D11</f>
        <v>0</v>
      </c>
      <c r="AS8" s="493"/>
      <c r="AT8" s="45">
        <f>C14</f>
        <v>0</v>
      </c>
      <c r="AU8" s="45">
        <f>C15</f>
        <v>0</v>
      </c>
      <c r="AW8" s="45" t="str">
        <f>IF(OR(VLOOKUP(B14,DK7:DL10,2,FALSE)=DL7,VLOOKUP(B14,DK7:DL10,2,FALSE)=DL9,VLOOKUP(B14,DK7:DL10,2,FALSE)=DL10),B14,"")</f>
        <v>Roumanie</v>
      </c>
      <c r="AX8" s="3" t="str">
        <f>IF(AND(AW8&lt;&gt;"",AX6&lt;&gt;""),IF(VLOOKUP(AW8,DK7:DL10,2,FALSE)=VLOOKUP(AX6,DK7:DL10,2,FALSE),IF(AR8&gt;AS7,"Vainqueur",IF(AR8&lt;AS7,"Perdant","Egalité")),"Pas d'égalité"),"")</f>
        <v>Egalité</v>
      </c>
      <c r="AY8" s="3"/>
      <c r="AZ8" s="3" t="str">
        <f>IF(AND(AW8&lt;&gt;"",AZ6&lt;&gt;""),IF(VLOOKUP(AW8,DK7:DL10,2,FALSE)=VLOOKUP(AZ6,DK7:DL10,2,FALSE),IF(AT8&gt;AS9,"Vainqueur",IF(AT8&lt;AS9,"Perdant","Egalité")),"Pas d'égalité"),"")</f>
        <v>Egalité</v>
      </c>
      <c r="BA8" s="3" t="str">
        <f>IF(AND(AW8&lt;&gt;"",BA6&lt;&gt;""),IF(VLOOKUP(AW8,DK7:DL10,2,FALSE)=VLOOKUP(BA6,DK7:DL10,2,FALSE),IF(AU8&gt;AS10,"Vainqueur",IF(AU8&lt;AS10,"Perdant","Egalité")),"Pas d'égalité"),"")</f>
        <v>Egalité</v>
      </c>
      <c r="BB8" s="3"/>
      <c r="BC8" s="45" t="str">
        <f t="shared" ref="BC8:BC10" si="6">AW8</f>
        <v>Roumanie</v>
      </c>
      <c r="BD8" s="3">
        <f t="shared" ref="BD8:BD10" si="7">IF(BC8&lt;&gt;"",3*COUNTIF(AX8:BA8,"Vainqueur")+COUNTIF(AX8:BA8,"Egalité"),"")</f>
        <v>3</v>
      </c>
      <c r="BF8" s="45" t="str">
        <f>AW8</f>
        <v>Roumanie</v>
      </c>
      <c r="BG8" s="3">
        <f>IF(OR(AX8="Vainqueur",AX8="Perdant",AX8="Egalité"),AR8,"")</f>
        <v>0</v>
      </c>
      <c r="BI8" s="3">
        <f t="shared" si="4"/>
        <v>0</v>
      </c>
      <c r="BJ8" s="3">
        <f>IF(OR(BA8="Vainqueur",BA8="Perdant",BA8="Egalité"),AU8,"")</f>
        <v>0</v>
      </c>
      <c r="BL8" s="45" t="str">
        <f>AW8</f>
        <v>Roumanie</v>
      </c>
      <c r="BM8" s="3">
        <f>IF(BL8&lt;&gt;"",SUM(BG8:BJ8)-SUM(BH7:BH10),"")</f>
        <v>0</v>
      </c>
      <c r="BO8" s="45" t="str">
        <f>AW8</f>
        <v>Roumanie</v>
      </c>
      <c r="BP8" s="3">
        <f>IF(BO8&lt;&gt;"",SUM(BG8:BJ8),"")</f>
        <v>0</v>
      </c>
      <c r="BR8" s="3" t="str">
        <f>B14</f>
        <v>Roumanie</v>
      </c>
      <c r="BS8" s="45">
        <f>IF(BD8&lt;&gt;"",SUM(DL8,BD8/10^2,BM8/10^4,BP8/10^6),DL8)</f>
        <v>0.03</v>
      </c>
      <c r="BT8" s="45">
        <f>RANK(BS8,BS7:BS10)</f>
        <v>1</v>
      </c>
      <c r="BV8" s="45" t="str">
        <f>IF(OR(VLOOKUP(B14,BR7:BS10,2,FALSE)=BS7,VLOOKUP(B14,BR7:BS10,2,FALSE)=BS9,VLOOKUP(B14,BR7:BS10,2,FALSE)=BS10),B14,"")</f>
        <v>Roumanie</v>
      </c>
      <c r="BW8" s="3" t="str">
        <f>IF(AND(BV8&lt;&gt;"",BW6&lt;&gt;""),IF(VLOOKUP(BV8,BR7:BS10,2,FALSE)=VLOOKUP(BW6,BR7:BS10,2,FALSE),IF(AR8&gt;AS7,"Vainqueur",IF(AR8&lt;AS7,"Perdant","Egalité")),"Pas d'égalité"),"")</f>
        <v>Egalité</v>
      </c>
      <c r="BX8" s="3"/>
      <c r="BY8" s="3" t="str">
        <f>IF(AND(BV8&lt;&gt;"",BY6&lt;&gt;""),IF(VLOOKUP(BV8,BR7:BS10,2,FALSE)=VLOOKUP(BY6,BR7:BS10,2,FALSE),IF(AT8&gt;AS9,"Vainqueur",IF(AT8&lt;AS9,"Perdant","Egalité")),"Pas d'égalité"),"")</f>
        <v>Egalité</v>
      </c>
      <c r="BZ8" s="3" t="str">
        <f>IF(AND(BV8&lt;&gt;"",BZ6&lt;&gt;""),IF(VLOOKUP(BV8,BR7:BS10,2,FALSE)=VLOOKUP(BZ6,BR7:BS10,2,FALSE),IF(AU8&gt;AS10,"Vainqueur",IF(AU8&lt;AS10,"Perdant","Egalité")),"Pas d'égalité"),"")</f>
        <v>Egalité</v>
      </c>
      <c r="CA8" s="3"/>
      <c r="CB8" s="45" t="str">
        <f t="shared" ref="CB8:CB10" si="8">BV8</f>
        <v>Roumanie</v>
      </c>
      <c r="CC8" s="3">
        <f t="shared" ref="CC8:CC10" si="9">IF(CB8&lt;&gt;"",3*COUNTIF(BW8:BZ8,"Vainqueur")+COUNTIF(BW8:BZ8,"Egalité"),"")</f>
        <v>3</v>
      </c>
      <c r="CE8" s="45" t="str">
        <f>BV8</f>
        <v>Roumanie</v>
      </c>
      <c r="CF8" s="3">
        <f>IF(OR(BW8="Vainqueur",BW8="Perdant",BW8="Egalité"),AR8,"")</f>
        <v>0</v>
      </c>
      <c r="CH8" s="3">
        <f>IF(OR(BY8="Vainqueur",BY8="Perdant",BY8="Egalité"),AT8,"")</f>
        <v>0</v>
      </c>
      <c r="CI8" s="3">
        <f>IF(OR(BZ8="Vainqueur",BZ8="Perdant",BZ8="Egalité"),AU8,"")</f>
        <v>0</v>
      </c>
      <c r="CK8" s="45" t="str">
        <f t="shared" ref="CK8:CK10" si="10">BV8</f>
        <v>Roumanie</v>
      </c>
      <c r="CL8" s="3">
        <f>IF(CK8&lt;&gt;"",SUM(CF8:CI8)-SUM(CG7:CG10),"")</f>
        <v>0</v>
      </c>
      <c r="CN8" s="45" t="str">
        <f>BV8</f>
        <v>Roumanie</v>
      </c>
      <c r="CO8" s="3">
        <f>IF(CN8&lt;&gt;"",SUM(CF8:CI8),"")</f>
        <v>0</v>
      </c>
      <c r="CQ8" s="3" t="str">
        <f>B14</f>
        <v>Roumanie</v>
      </c>
      <c r="CR8" s="45">
        <f>IF(CC8&lt;&gt;"",SUM(BS8,CC8/10^8,CL8/10^9,CO8/10^10),BS8)</f>
        <v>3.000003E-2</v>
      </c>
      <c r="CS8" s="45">
        <f>RANK(CR8,CR7:CR10)</f>
        <v>1</v>
      </c>
      <c r="CU8" s="3" t="str">
        <f>B14</f>
        <v>Roumanie</v>
      </c>
      <c r="CV8" s="3">
        <f>SUM(AR8:AU8)-SUM(AS7:AS10)</f>
        <v>0</v>
      </c>
      <c r="CW8" s="3">
        <f t="shared" ref="CW8:CW10" si="11">SUM(AR8:AU8)</f>
        <v>0</v>
      </c>
      <c r="CY8" s="3" t="str">
        <f>B14</f>
        <v>Roumanie</v>
      </c>
      <c r="CZ8" s="45">
        <f>IF(OR(CR8=CR7,CR8=CR9,CR8=CR10),SUM(CR8,CV8/10^12,CW8/10^14),CR8)</f>
        <v>3.000003E-2</v>
      </c>
      <c r="DA8" s="45">
        <f>RANK(CZ8,CZ7:CZ10)</f>
        <v>1</v>
      </c>
      <c r="DB8" s="45"/>
      <c r="DC8" s="45" t="str">
        <f>B14</f>
        <v>Roumanie</v>
      </c>
      <c r="DD8" s="45">
        <f>SUM(G14,G15,I11)</f>
        <v>16</v>
      </c>
      <c r="DE8" s="45">
        <f>SUM(H14,H15,J11)</f>
        <v>4</v>
      </c>
      <c r="DG8" s="3" t="str">
        <f>B14</f>
        <v>Roumanie</v>
      </c>
      <c r="DH8" s="45">
        <f>IF(OR(CZ8=CZ7,CZ8=CZ9,CZ8=CZ10),SUM(CZ8,(-DD8-3*DE8)/10^15),CZ8)</f>
        <v>3.0000029999972002E-2</v>
      </c>
      <c r="DI8" s="45">
        <f>RANK(DH8,DH7:DH10)</f>
        <v>2</v>
      </c>
      <c r="DK8" s="376" t="str">
        <f>B14</f>
        <v>Roumanie</v>
      </c>
      <c r="DL8" s="377">
        <f>COUNTIF(F11:F16,B14)*3+COUNTIF(F11,"Égalité")+COUNTIF(F14:F15,"Égalité")</f>
        <v>0</v>
      </c>
      <c r="DM8" s="377">
        <f t="shared" ref="DM8:DM10" si="12">BS8</f>
        <v>0.03</v>
      </c>
      <c r="DN8" s="376">
        <f t="shared" ref="DN8:DN10" si="13">CR8</f>
        <v>3.000003E-2</v>
      </c>
      <c r="DO8" s="376">
        <f t="shared" ref="DO8:DO10" si="14">CZ8</f>
        <v>3.000003E-2</v>
      </c>
      <c r="DP8" s="401">
        <f t="shared" ref="DP8:DP10" si="15">DH8</f>
        <v>3.0000029999972002E-2</v>
      </c>
      <c r="DQ8" s="377" t="str">
        <f>B14</f>
        <v>Roumanie</v>
      </c>
    </row>
    <row r="9" spans="1:121" ht="15.75" thickBot="1" x14ac:dyDescent="0.3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403" t="s">
        <v>169</v>
      </c>
      <c r="P9" s="609"/>
      <c r="Q9" s="611"/>
      <c r="R9" s="97"/>
      <c r="S9" s="612" t="str">
        <f>IF(Q6&lt;&gt;Q8,IF(Q6&gt;Q8,P6,P8),"")</f>
        <v/>
      </c>
      <c r="T9" s="613"/>
      <c r="U9" s="97"/>
      <c r="V9" s="97"/>
      <c r="W9" s="97"/>
      <c r="X9" s="97"/>
      <c r="Y9" s="97"/>
      <c r="Z9" s="97"/>
      <c r="AA9" s="98"/>
      <c r="AC9" s="73" t="s">
        <v>118</v>
      </c>
      <c r="AD9" s="373" t="str">
        <f>M26</f>
        <v/>
      </c>
      <c r="AE9" s="211">
        <f>N26</f>
        <v>0</v>
      </c>
      <c r="AF9" s="211">
        <f>IF(AD9&lt;&gt;"",VLOOKUP(AD9,CU19:CV22,2,FALSE),0)</f>
        <v>0</v>
      </c>
      <c r="AG9" s="487">
        <f>IF(AD9&lt;&gt;"",VLOOKUP(AD9,CU19:CW22,3,FALSE),0)</f>
        <v>0</v>
      </c>
      <c r="AH9" s="413">
        <f>IF(AD9&lt;&gt;"",VLOOKUP(AD9,DC19:DE22,2,FALSE),0)</f>
        <v>0</v>
      </c>
      <c r="AI9" s="414">
        <f>IF(AD9&lt;&gt;"",VLOOKUP(AD9,DC19:DE22,3,FALSE),0)</f>
        <v>0</v>
      </c>
      <c r="AL9" s="219">
        <f t="shared" ref="AL9:AL12" si="16">SUM(AE9,AF9/10^2,AG9/10^4,-(AH9+3*AI9)/10^6)</f>
        <v>0</v>
      </c>
      <c r="AM9" s="217" t="str">
        <f>M26</f>
        <v/>
      </c>
      <c r="AN9" s="214" t="s">
        <v>118</v>
      </c>
      <c r="AO9" s="129"/>
      <c r="AP9" s="129"/>
      <c r="AQ9" s="45" t="str">
        <f>B16</f>
        <v>Albanie</v>
      </c>
      <c r="AR9" s="45">
        <f>D12</f>
        <v>0</v>
      </c>
      <c r="AS9" s="45">
        <f>D14</f>
        <v>0</v>
      </c>
      <c r="AT9" s="493"/>
      <c r="AU9" s="45">
        <f>C16</f>
        <v>0</v>
      </c>
      <c r="AW9" s="45" t="str">
        <f>IF(OR(VLOOKUP(B16,DK7:DL10,2,FALSE)=DL7,VLOOKUP(B16,DK7:DL10,2,FALSE)=DL8,VLOOKUP(B16,DK7:DL10,2,FALSE)=DL10),B16,"")</f>
        <v>Albanie</v>
      </c>
      <c r="AX9" s="3" t="str">
        <f>IF(AND(AW9&lt;&gt;"",AX6&lt;&gt;""),IF(VLOOKUP(AW9,DK7:DL10,2,FALSE)=VLOOKUP(AX6,DK7:DL10,2,FALSE),IF(AR9&gt;AT7,"Vainqueur",IF(AR9&lt;AT7,"Perdant","Egalité")),"Pas d'égalité"),"")</f>
        <v>Egalité</v>
      </c>
      <c r="AY9" s="3" t="str">
        <f>IF(AND(AW9&lt;&gt;"",AY6&lt;&gt;""),IF(VLOOKUP(AW9,DK7:DL10,2,FALSE)=VLOOKUP(AY6,DK7:DL10,2,FALSE),IF(AS9&gt;AT8,"Vainqueur",IF(AS9&lt;AT8,"Perdant","Egalité")),"Pas d'égalité"),"")</f>
        <v>Egalité</v>
      </c>
      <c r="AZ9" s="3"/>
      <c r="BA9" s="3" t="str">
        <f>IF(AND(AW9&lt;&gt;"",BA6&lt;&gt;""),IF(VLOOKUP(AW9,DK7:DL10,2,FALSE)=VLOOKUP(BA6,DK7:DL10,2,FALSE),IF(AU9&gt;AT10,"Vainqueur",IF(AU9&lt;AT10,"Perdant","Egalité")),"Pas d'égalité"),"")</f>
        <v>Egalité</v>
      </c>
      <c r="BB9" s="3"/>
      <c r="BC9" s="45" t="str">
        <f t="shared" si="6"/>
        <v>Albanie</v>
      </c>
      <c r="BD9" s="3">
        <f t="shared" si="7"/>
        <v>3</v>
      </c>
      <c r="BF9" s="45" t="str">
        <f>AW9</f>
        <v>Albanie</v>
      </c>
      <c r="BG9" s="3">
        <f t="shared" ref="BG9:BH9" si="17">IF(OR(AX9="Vainqueur",AX9="Perdant",AX9="Egalité"),AR9,"")</f>
        <v>0</v>
      </c>
      <c r="BH9" s="3">
        <f t="shared" si="17"/>
        <v>0</v>
      </c>
      <c r="BJ9" s="3">
        <f>IF(OR(BA9="Vainqueur",BA9="Perdant",BA9="Egalité"),AU9,"")</f>
        <v>0</v>
      </c>
      <c r="BL9" s="45" t="str">
        <f t="shared" ref="BL9:BL10" si="18">AW9</f>
        <v>Albanie</v>
      </c>
      <c r="BM9" s="3">
        <f>IF(BL9&lt;&gt;"",SUM(BG9:BJ9)-SUM(BI7:BI10),"")</f>
        <v>0</v>
      </c>
      <c r="BO9" s="45" t="str">
        <f>AW9</f>
        <v>Albanie</v>
      </c>
      <c r="BP9" s="3">
        <f>IF(BO9&lt;&gt;"",SUM(BG9:BJ9),"")</f>
        <v>0</v>
      </c>
      <c r="BR9" s="3" t="str">
        <f>B16</f>
        <v>Albanie</v>
      </c>
      <c r="BS9" s="45">
        <f>IF(BD9&lt;&gt;"",SUM(DL9,BD9/10^2,BM9/10^4,BP9/10^6),DL9)</f>
        <v>0.03</v>
      </c>
      <c r="BT9" s="45">
        <f>RANK(BS9,BS7:BS10)</f>
        <v>1</v>
      </c>
      <c r="BV9" s="45" t="str">
        <f>IF(OR(VLOOKUP(B16,BR7:BS10,2,FALSE)=BS7,VLOOKUP(B16,BR7:BS10,2,FALSE)=BS8,VLOOKUP(B16,BR7:BS10,2,FALSE)=BS10),B16,"")</f>
        <v>Albanie</v>
      </c>
      <c r="BW9" s="3" t="str">
        <f>IF(AND(BV9&lt;&gt;"",BW6&lt;&gt;""),IF(VLOOKUP(BV9,BR7:BS10,2,FALSE)=VLOOKUP(BW6,BR7:BS10,2,FALSE),IF(AR9&gt;AT7,"Vainqueur",IF(AR9&lt;AT7,"Perdant","Egalité")),"Pas d'égalité"),"")</f>
        <v>Egalité</v>
      </c>
      <c r="BX9" s="3" t="str">
        <f>IF(AND(BV9&lt;&gt;"",BX6&lt;&gt;""),IF(VLOOKUP(BV9,BR7:BS10,2,FALSE)=VLOOKUP(BX6,BR7:BS10,2,FALSE),IF(AS9&gt;AT8,"Vainqueur",IF(AS9&lt;AT8,"Perdant","Egalité")),"Pas d'égalité"),"")</f>
        <v>Egalité</v>
      </c>
      <c r="BY9" s="3"/>
      <c r="BZ9" s="3" t="str">
        <f>IF(AND(BV9&lt;&gt;"",BZ6&lt;&gt;""),IF(VLOOKUP(BV9,BR7:BS10,2,FALSE)=VLOOKUP(BZ6,BR7:BS10,2,FALSE),IF(AU9&gt;AT10,"Vainqueur",IF(AU9&lt;AT10,"Perdant","Egalité")),"Pas d'égalité"),"")</f>
        <v>Egalité</v>
      </c>
      <c r="CA9" s="3"/>
      <c r="CB9" s="45" t="str">
        <f>BV9</f>
        <v>Albanie</v>
      </c>
      <c r="CC9" s="3">
        <f>IF(CB9&lt;&gt;"",3*COUNTIF(BW9:BZ9,"Vainqueur")+COUNTIF(BW9:BZ9,"Egalité"),"")</f>
        <v>3</v>
      </c>
      <c r="CE9" s="45" t="str">
        <f>BV9</f>
        <v>Albanie</v>
      </c>
      <c r="CF9" s="3">
        <f>IF(OR(BW9="Vainqueur",BW9="Perdant",BW9="Egalité"),AR9,"")</f>
        <v>0</v>
      </c>
      <c r="CG9" s="3">
        <f>IF(OR(BX9="Vainqueur",BX9="Perdant",BX9="Egalité"),AS9,"")</f>
        <v>0</v>
      </c>
      <c r="CI9" s="3">
        <f>IF(OR(BZ9="Vainqueur",BZ9="Perdant",BZ9="Egalité"),AU9,"")</f>
        <v>0</v>
      </c>
      <c r="CK9" s="45" t="str">
        <f t="shared" si="10"/>
        <v>Albanie</v>
      </c>
      <c r="CL9" s="3">
        <f>IF(CK9&lt;&gt;"",SUM(CF9:CI9)-SUM(CH7:CH10),"")</f>
        <v>0</v>
      </c>
      <c r="CN9" s="45" t="str">
        <f>BV9</f>
        <v>Albanie</v>
      </c>
      <c r="CO9" s="3">
        <f>IF(CN9&lt;&gt;"",SUM(CF9:CI9),"")</f>
        <v>0</v>
      </c>
      <c r="CQ9" s="3" t="str">
        <f>B16</f>
        <v>Albanie</v>
      </c>
      <c r="CR9" s="45">
        <f>IF(CC9&lt;&gt;"",SUM(BS9,CC9/10^8,CL9/10^9,CO9/10^10),BS9)</f>
        <v>3.000003E-2</v>
      </c>
      <c r="CS9" s="45">
        <f>RANK(CR9,CR7:CR10)</f>
        <v>1</v>
      </c>
      <c r="CU9" s="3" t="str">
        <f>B16</f>
        <v>Albanie</v>
      </c>
      <c r="CV9" s="3">
        <f>SUM(AR9:AU9)-SUM(AT7:AT10)</f>
        <v>0</v>
      </c>
      <c r="CW9" s="3">
        <f t="shared" si="11"/>
        <v>0</v>
      </c>
      <c r="CY9" s="3" t="str">
        <f>B16</f>
        <v>Albanie</v>
      </c>
      <c r="CZ9" s="45">
        <f>IF(OR(CR9=CR7,CR9=CR8,CR9=CR10),SUM(CR9,CV9/10^12,CW9/10^14),CR9)</f>
        <v>3.000003E-2</v>
      </c>
      <c r="DA9" s="45">
        <f>RANK(CZ9,CZ7:CZ10)</f>
        <v>1</v>
      </c>
      <c r="DB9" s="45"/>
      <c r="DC9" s="45" t="str">
        <f>B16</f>
        <v>Albanie</v>
      </c>
      <c r="DD9" s="45">
        <f>SUM(G16,I12,I14)</f>
        <v>12</v>
      </c>
      <c r="DE9" s="45">
        <f>SUM(H16,J12,J14)</f>
        <v>8</v>
      </c>
      <c r="DG9" s="3" t="str">
        <f>B16</f>
        <v>Albanie</v>
      </c>
      <c r="DH9" s="45">
        <f>IF(OR(CZ9=CZ7,CZ9=CZ8,CZ9=CZ10),SUM(CZ9,(-DD9-3*DE9)/10^15),CZ9)</f>
        <v>3.0000029999964001E-2</v>
      </c>
      <c r="DI9" s="45">
        <f>RANK(DH9,DH7:DH10)</f>
        <v>4</v>
      </c>
      <c r="DK9" s="376" t="str">
        <f>B16</f>
        <v>Albanie</v>
      </c>
      <c r="DL9" s="377">
        <f>COUNTIF(F11:F16,B16)*3+COUNTIF(F12,"Égalité")+COUNTIF(F14,"Égalité")+COUNTIF(F16,"Égalité")</f>
        <v>0</v>
      </c>
      <c r="DM9" s="377">
        <f t="shared" si="12"/>
        <v>0.03</v>
      </c>
      <c r="DN9" s="376">
        <f t="shared" si="13"/>
        <v>3.000003E-2</v>
      </c>
      <c r="DO9" s="376">
        <f t="shared" si="14"/>
        <v>3.000003E-2</v>
      </c>
      <c r="DP9" s="401">
        <f t="shared" si="15"/>
        <v>3.0000029999964001E-2</v>
      </c>
      <c r="DQ9" s="377" t="str">
        <f>B16</f>
        <v>Albanie</v>
      </c>
    </row>
    <row r="10" spans="1:121" ht="15.75" thickBot="1" x14ac:dyDescent="0.3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403"/>
      <c r="P10" s="97"/>
      <c r="Q10" s="97"/>
      <c r="R10" s="97"/>
      <c r="S10" s="608"/>
      <c r="T10" s="610"/>
      <c r="U10" s="97"/>
      <c r="V10" s="97"/>
      <c r="W10" s="97"/>
      <c r="X10" s="97"/>
      <c r="Y10" s="97"/>
      <c r="Z10" s="97"/>
      <c r="AA10" s="98"/>
      <c r="AC10" s="73" t="s">
        <v>119</v>
      </c>
      <c r="AD10" s="373" t="str">
        <f>M32</f>
        <v/>
      </c>
      <c r="AE10" s="211">
        <f>N32</f>
        <v>0</v>
      </c>
      <c r="AF10" s="211">
        <f>IF(AD10&lt;&gt;"",VLOOKUP(AD10,CU25:CV28,2,FALSE),0)</f>
        <v>0</v>
      </c>
      <c r="AG10" s="487">
        <f>IF(AD10&lt;&gt;"",VLOOKUP(AD10,CU25:CW28,3,FALSE),0)</f>
        <v>0</v>
      </c>
      <c r="AH10" s="413">
        <f>IF(AD10&lt;&gt;"",VLOOKUP(AD10,DC25:DE28,2,FALSE),0)</f>
        <v>0</v>
      </c>
      <c r="AI10" s="414">
        <f>IF(AD10&lt;&gt;"",VLOOKUP(AD10,DC25:DE28,3,FALSE),0)</f>
        <v>0</v>
      </c>
      <c r="AL10" s="219">
        <f>SUM(AE10,AF10/10^2,AG10/10^4,-(AH10+3*AI10)/10^6)</f>
        <v>0</v>
      </c>
      <c r="AM10" s="217" t="str">
        <f>M32</f>
        <v/>
      </c>
      <c r="AN10" s="214" t="s">
        <v>119</v>
      </c>
      <c r="AO10" s="129"/>
      <c r="AP10" s="129"/>
      <c r="AQ10" s="45" t="str">
        <f>E13</f>
        <v>Suisse</v>
      </c>
      <c r="AR10" s="45">
        <f>D13</f>
        <v>0</v>
      </c>
      <c r="AS10" s="45">
        <f>D15</f>
        <v>0</v>
      </c>
      <c r="AT10" s="45">
        <f>D16</f>
        <v>0</v>
      </c>
      <c r="AU10" s="493"/>
      <c r="AW10" s="45" t="str">
        <f>IF(OR(VLOOKUP(E13,DK7:DL10,2,FALSE)=DL7,VLOOKUP(E13,DK7:DL10,2,FALSE)=DL8,VLOOKUP(E13,DK7:DL10,2,FALSE)=DL9),E13,"")</f>
        <v>Suisse</v>
      </c>
      <c r="AX10" s="3" t="str">
        <f>IF(AND(AW10&lt;&gt;"",AX6&lt;&gt;""),IF(VLOOKUP(AW10,DK7:DL10,2,FALSE)=VLOOKUP(AX6,DK7:DL10,2,FALSE),IF(AR10&gt;AU7,"Vainqueur",IF(AR10&lt;AU7,"Perdant","Egalité")),"Pas d'égalité"),"")</f>
        <v>Egalité</v>
      </c>
      <c r="AY10" s="3" t="str">
        <f>IF(AND(AW10&lt;&gt;"",AY6&lt;&gt;""),IF(VLOOKUP(AW10,DK7:DL10,2,FALSE)=VLOOKUP(AY6,DK7:DL10,2,FALSE),IF(AS10&gt;AU8,"Vainqueur",IF(AS10&lt;AU8,"Perdant","Egalité")),"Pas d'égalité"),"")</f>
        <v>Egalité</v>
      </c>
      <c r="AZ10" s="3" t="str">
        <f>IF(AND(AW10&lt;&gt;"",AZ6&lt;&gt;""),IF(VLOOKUP(AW10,DK7:DL10,2,FALSE)=VLOOKUP(AZ6,DK7:DL10,2,FALSE),IF(AT10&gt;AU9,"Vainqueur",IF(AT10&lt;AU9,"Perdant","Egalité")),"Pas d'égalité"),"")</f>
        <v>Egalité</v>
      </c>
      <c r="BA10" s="3"/>
      <c r="BB10" s="3"/>
      <c r="BC10" s="45" t="str">
        <f t="shared" si="6"/>
        <v>Suisse</v>
      </c>
      <c r="BD10" s="3">
        <f t="shared" si="7"/>
        <v>3</v>
      </c>
      <c r="BF10" s="45" t="str">
        <f>AW10</f>
        <v>Suisse</v>
      </c>
      <c r="BG10" s="3">
        <f t="shared" ref="BG10:BI10" si="19">IF(OR(AX10="Vainqueur",AX10="Perdant",AX10="Egalité"),AR10,"")</f>
        <v>0</v>
      </c>
      <c r="BH10" s="3">
        <f t="shared" si="19"/>
        <v>0</v>
      </c>
      <c r="BI10" s="3">
        <f t="shared" si="19"/>
        <v>0</v>
      </c>
      <c r="BL10" s="45" t="str">
        <f t="shared" si="18"/>
        <v>Suisse</v>
      </c>
      <c r="BM10" s="3">
        <f>IF(BL10&lt;&gt;"",SUM(BG10:BJ10)-SUM(BJ7:BJ10),"")</f>
        <v>0</v>
      </c>
      <c r="BO10" s="45" t="str">
        <f>AW10</f>
        <v>Suisse</v>
      </c>
      <c r="BP10" s="3">
        <f>IF(BO10&lt;&gt;"",SUM(BG10:BJ10),"")</f>
        <v>0</v>
      </c>
      <c r="BR10" s="3" t="str">
        <f>E13</f>
        <v>Suisse</v>
      </c>
      <c r="BS10" s="45">
        <f>IF(BD10&lt;&gt;"",SUM(DL10,BD10/10^2,BM10/10^4,BP10/10^6),DL10)</f>
        <v>0.03</v>
      </c>
      <c r="BT10" s="45">
        <f>RANK(BS10,BS7:BS10)</f>
        <v>1</v>
      </c>
      <c r="BV10" s="45" t="str">
        <f>IF(OR(VLOOKUP(E13,BR7:BS10,2,FALSE)=BS7,VLOOKUP(E13,BR7:BS10,2,FALSE)=BS8,VLOOKUP(E13,BR7:BS10,2,FALSE)=BS9),E13,"")</f>
        <v>Suisse</v>
      </c>
      <c r="BW10" s="3" t="str">
        <f>IF(AND(BV10&lt;&gt;"",BW6&lt;&gt;""),IF(VLOOKUP(BV10,BR7:BS10,2,FALSE)=VLOOKUP(BW6,BR7:BS10,2,FALSE),IF(AR10&gt;AU7,"Vainqueur",IF(AR10&lt;AU7,"Perdant","Egalité")),"Pas d'égalité"),"")</f>
        <v>Egalité</v>
      </c>
      <c r="BX10" s="3" t="str">
        <f>IF(AND(BV10&lt;&gt;"",BX6&lt;&gt;""),IF(VLOOKUP(BV10,BR7:BS10,2,FALSE)=VLOOKUP(BX6,BR7:BS10,2,FALSE),IF(AS10&gt;AU8,"Vainqueur",IF(AS10&lt;AU8,"Perdant","Egalité")),"Pas d'égalité"),"")</f>
        <v>Egalité</v>
      </c>
      <c r="BY10" s="3" t="str">
        <f>IF(AND(BV10&lt;&gt;"",BY6&lt;&gt;""),IF(VLOOKUP(BV10,BR7:BS10,2,FALSE)=VLOOKUP(BY6,BR7:BS10,2,FALSE),IF(AT10&gt;AU9,"Vainqueur",IF(AT10&lt;AU9,"Perdant","Egalité")),"Pas d'égalité"),"")</f>
        <v>Egalité</v>
      </c>
      <c r="BZ10" s="3"/>
      <c r="CA10" s="3"/>
      <c r="CB10" s="45" t="str">
        <f t="shared" si="8"/>
        <v>Suisse</v>
      </c>
      <c r="CC10" s="3">
        <f t="shared" si="9"/>
        <v>3</v>
      </c>
      <c r="CE10" s="45" t="str">
        <f>BV10</f>
        <v>Suisse</v>
      </c>
      <c r="CF10" s="3">
        <f>IF(OR(BW10="Vainqueur",BW10="Perdant",BW10="Egalité"),AR10,"")</f>
        <v>0</v>
      </c>
      <c r="CG10" s="3">
        <f>IF(OR(BX10="Vainqueur",BX10="Perdant",BX10="Egalité"),AS10,"")</f>
        <v>0</v>
      </c>
      <c r="CH10" s="3">
        <f>IF(OR(BY10="Vainqueur",BY10="Perdant",BY10="Egalité"),AT10,"")</f>
        <v>0</v>
      </c>
      <c r="CK10" s="45" t="str">
        <f t="shared" si="10"/>
        <v>Suisse</v>
      </c>
      <c r="CL10" s="3">
        <f>IF(CK10&lt;&gt;"",SUM(CF10:CI10)-SUM(CI7:CI10),"")</f>
        <v>0</v>
      </c>
      <c r="CN10" s="45" t="str">
        <f>BV10</f>
        <v>Suisse</v>
      </c>
      <c r="CO10" s="3">
        <f>IF(CN10&lt;&gt;"",SUM(CF10:CI10),"")</f>
        <v>0</v>
      </c>
      <c r="CQ10" s="3" t="str">
        <f>E13</f>
        <v>Suisse</v>
      </c>
      <c r="CR10" s="45">
        <f>IF(CC10&lt;&gt;"",SUM(BS10,CC10/10^8,CL10/10^9,CO10/10^10),BS10)</f>
        <v>3.000003E-2</v>
      </c>
      <c r="CS10" s="45">
        <f>RANK(CR10,CR7:CR10)</f>
        <v>1</v>
      </c>
      <c r="CU10" s="3" t="str">
        <f>E13</f>
        <v>Suisse</v>
      </c>
      <c r="CV10" s="3">
        <f>SUM(AR10:AU10)-SUM(AU7:AU10)</f>
        <v>0</v>
      </c>
      <c r="CW10" s="3">
        <f t="shared" si="11"/>
        <v>0</v>
      </c>
      <c r="CY10" s="3" t="str">
        <f>E13</f>
        <v>Suisse</v>
      </c>
      <c r="CZ10" s="45">
        <f>IF(OR(CR10=CR7,CR10=CR8,CR10=CR9),SUM(CR10,CV10/10^12,CW10/10^14),CR10)</f>
        <v>3.000003E-2</v>
      </c>
      <c r="DA10" s="45">
        <f>RANK(CZ10,CZ7:CZ10)</f>
        <v>1</v>
      </c>
      <c r="DB10" s="45"/>
      <c r="DC10" s="45" t="str">
        <f>E13</f>
        <v>Suisse</v>
      </c>
      <c r="DD10" s="45">
        <f>SUM(I13,I15,I16)</f>
        <v>11</v>
      </c>
      <c r="DE10" s="45">
        <f>SUM(J13,J15,J16)</f>
        <v>8</v>
      </c>
      <c r="DG10" s="3" t="str">
        <f>E13</f>
        <v>Suisse</v>
      </c>
      <c r="DH10" s="45">
        <f>IF(OR(CZ10=CZ7,CZ10=CZ8,CZ10=CZ9),SUM(CZ10,(-DD10-3*DE10)/10^15),CZ10)</f>
        <v>3.0000029999965001E-2</v>
      </c>
      <c r="DI10" s="45">
        <f>RANK(DH10,DH7:DH10)</f>
        <v>3</v>
      </c>
      <c r="DK10" s="377" t="str">
        <f>E13</f>
        <v>Suisse</v>
      </c>
      <c r="DL10" s="494">
        <f>COUNTIF(F11:F16,E13)*3+COUNTIF(F13,"Égalité")+COUNTIF(F15:F16,"Égalité")</f>
        <v>0</v>
      </c>
      <c r="DM10" s="377">
        <f t="shared" si="12"/>
        <v>0.03</v>
      </c>
      <c r="DN10" s="376">
        <f t="shared" si="13"/>
        <v>3.000003E-2</v>
      </c>
      <c r="DO10" s="376">
        <f t="shared" si="14"/>
        <v>3.000003E-2</v>
      </c>
      <c r="DP10" s="401">
        <f t="shared" si="15"/>
        <v>3.0000029999965001E-2</v>
      </c>
      <c r="DQ10" s="377" t="str">
        <f>E13</f>
        <v>Suisse</v>
      </c>
    </row>
    <row r="11" spans="1:121" ht="15.75" thickBot="1" x14ac:dyDescent="0.3">
      <c r="A11" s="614" t="s">
        <v>114</v>
      </c>
      <c r="B11" s="368" t="str">
        <f>'Matchs de Qualification'!L32</f>
        <v>France</v>
      </c>
      <c r="C11" s="99"/>
      <c r="D11" s="99"/>
      <c r="E11" s="365" t="str">
        <f>IF(B14&lt;&gt;"Equipe 2",B14,0)</f>
        <v>Roumanie</v>
      </c>
      <c r="F11" s="510" t="str">
        <f>IF(C11&gt;D11,B11,IF(C11&lt;D11,E11,IF(C11="","Non joué",IF(C11=D11,"Égalité"))))</f>
        <v>Non joué</v>
      </c>
      <c r="G11" s="443">
        <v>1</v>
      </c>
      <c r="H11" s="444">
        <v>2</v>
      </c>
      <c r="I11" s="425">
        <v>8</v>
      </c>
      <c r="J11" s="426">
        <v>2</v>
      </c>
      <c r="K11" s="100"/>
      <c r="L11" s="206" t="s">
        <v>115</v>
      </c>
      <c r="M11" s="370" t="s">
        <v>86</v>
      </c>
      <c r="N11" s="154" t="s">
        <v>94</v>
      </c>
      <c r="O11" s="403"/>
      <c r="P11" s="97"/>
      <c r="Q11" s="97"/>
      <c r="R11" s="97"/>
      <c r="S11" s="608" t="str">
        <f>IF(Q12&lt;&gt;Q14,IF(Q12&gt;Q14,P12,P14),"")</f>
        <v/>
      </c>
      <c r="T11" s="610"/>
      <c r="U11" s="97"/>
      <c r="V11" s="97"/>
      <c r="W11" s="97"/>
      <c r="X11" s="97"/>
      <c r="Y11" s="97"/>
      <c r="Z11" s="97"/>
      <c r="AA11" s="98"/>
      <c r="AC11" s="73" t="s">
        <v>120</v>
      </c>
      <c r="AD11" s="373" t="str">
        <f>M38</f>
        <v/>
      </c>
      <c r="AE11" s="211">
        <f>N38</f>
        <v>0</v>
      </c>
      <c r="AF11" s="211">
        <f>IF(AD11&lt;&gt;"",VLOOKUP(AD11,CU31:CV34,2,FALSE),0)</f>
        <v>0</v>
      </c>
      <c r="AG11" s="487">
        <f>IF(AD11&lt;&gt;"",VLOOKUP(AD11,CU31:CW34,3,FALSE),0)</f>
        <v>0</v>
      </c>
      <c r="AH11" s="413">
        <f>IF(AD11&lt;&gt;"",VLOOKUP(AD11,DC31:DE34,2,FALSE),0)</f>
        <v>0</v>
      </c>
      <c r="AI11" s="414">
        <f>IF(AD11&lt;&gt;"",VLOOKUP(AD11,DC31:DE34,3,FALSE),0)</f>
        <v>0</v>
      </c>
      <c r="AL11" s="219">
        <f t="shared" si="16"/>
        <v>0</v>
      </c>
      <c r="AM11" s="217" t="str">
        <f>M38</f>
        <v/>
      </c>
      <c r="AN11" s="214" t="s">
        <v>120</v>
      </c>
      <c r="AO11" s="129"/>
      <c r="AP11" s="129"/>
      <c r="AQ11" s="45"/>
      <c r="AR11" s="45"/>
      <c r="AS11" s="45"/>
      <c r="AY11" s="3"/>
      <c r="AZ11" s="3"/>
      <c r="BA11" s="3"/>
      <c r="BB11" s="3"/>
      <c r="BC11" s="3"/>
      <c r="BD11" s="3"/>
      <c r="BF11" s="3"/>
      <c r="BG11" s="3"/>
      <c r="BS11" s="45"/>
      <c r="BT11" s="45"/>
      <c r="BX11" s="3"/>
      <c r="BY11" s="3"/>
      <c r="BZ11" s="3"/>
      <c r="CA11" s="3"/>
      <c r="CB11" s="3"/>
      <c r="CC11" s="3"/>
      <c r="CE11" s="3"/>
      <c r="CF11" s="3"/>
      <c r="CR11" s="45"/>
      <c r="CS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</row>
    <row r="12" spans="1:121" ht="15.75" thickBot="1" x14ac:dyDescent="0.3">
      <c r="A12" s="615"/>
      <c r="B12" s="369" t="str">
        <f>IF(B11&lt;&gt;"Equipe 1",B11,0)</f>
        <v>France</v>
      </c>
      <c r="C12" s="101"/>
      <c r="D12" s="101"/>
      <c r="E12" s="366" t="str">
        <f>IF(B16&lt;&gt;"Equipe 3",B16,0)</f>
        <v>Albanie</v>
      </c>
      <c r="F12" s="102" t="str">
        <f t="shared" ref="F12:F46" si="20">IF(C12&gt;D12,B12,IF(C12&lt;D12,E12,IF(C12="","Non joué",IF(C12=D12,"Égalité"))))</f>
        <v>Non joué</v>
      </c>
      <c r="G12" s="443">
        <v>2</v>
      </c>
      <c r="H12" s="444">
        <v>2</v>
      </c>
      <c r="I12" s="425">
        <v>5</v>
      </c>
      <c r="J12" s="426">
        <v>2</v>
      </c>
      <c r="K12" s="100"/>
      <c r="L12" s="467">
        <v>1</v>
      </c>
      <c r="M12" s="468" t="str">
        <f>IF(COUNT(C11:D16)&lt;&gt;0,VLOOKUP(MAX(DP7:DP10),DP7:DQ10,2,FALSE),"")</f>
        <v/>
      </c>
      <c r="N12" s="469">
        <f>IF(M12&lt;&gt;"",VLOOKUP(M12,DK7:DL10,2,FALSE),0)</f>
        <v>0</v>
      </c>
      <c r="O12" s="403" t="s">
        <v>170</v>
      </c>
      <c r="P12" s="612" t="str">
        <f>M30</f>
        <v/>
      </c>
      <c r="Q12" s="613"/>
      <c r="R12" s="97"/>
      <c r="S12" s="609"/>
      <c r="T12" s="611"/>
      <c r="U12" s="97"/>
      <c r="V12" s="97"/>
      <c r="W12" s="97"/>
      <c r="X12" s="97"/>
      <c r="Y12" s="97"/>
      <c r="Z12" s="97"/>
      <c r="AA12" s="98"/>
      <c r="AC12" s="74" t="s">
        <v>121</v>
      </c>
      <c r="AD12" s="374" t="str">
        <f>M44</f>
        <v/>
      </c>
      <c r="AE12" s="215">
        <f>N44</f>
        <v>0</v>
      </c>
      <c r="AF12" s="215">
        <f>IF(AD12&lt;&gt;"",VLOOKUP(AD12,CU37:CV40,2,FALSE),0)</f>
        <v>0</v>
      </c>
      <c r="AG12" s="488">
        <f>IF(AD12&lt;&gt;"",VLOOKUP(AD12,CU37:CW40,3,FALSE),0)</f>
        <v>0</v>
      </c>
      <c r="AH12" s="492">
        <f>IF(AD12&lt;&gt;"",VLOOKUP(AD12,DC37:DE40,2,FALSE),0)</f>
        <v>0</v>
      </c>
      <c r="AI12" s="420">
        <f>IF(AD12&lt;&gt;"",VLOOKUP(AD12,DC37:DE40,3,FALSE),0)</f>
        <v>0</v>
      </c>
      <c r="AL12" s="220">
        <f t="shared" si="16"/>
        <v>0</v>
      </c>
      <c r="AM12" s="218" t="str">
        <f>M44</f>
        <v/>
      </c>
      <c r="AN12" s="216" t="s">
        <v>121</v>
      </c>
      <c r="AO12" s="129"/>
      <c r="AP12" s="129"/>
      <c r="AQ12" s="45"/>
      <c r="AR12" s="45" t="str">
        <f t="shared" ref="AR12" si="21">AQ13</f>
        <v>Angleterre</v>
      </c>
      <c r="AS12" s="3" t="str">
        <f t="shared" ref="AS12" si="22">AQ14</f>
        <v>Russie</v>
      </c>
      <c r="AT12" s="3" t="str">
        <f t="shared" ref="AT12" si="23">AQ15</f>
        <v>Pays de Galles</v>
      </c>
      <c r="AU12" s="3" t="str">
        <f t="shared" ref="AU12" si="24">AQ16</f>
        <v>Slovaquie</v>
      </c>
      <c r="AX12" s="45" t="str">
        <f t="shared" ref="AX12" si="25">AW13</f>
        <v>Angleterre</v>
      </c>
      <c r="AY12" s="3" t="str">
        <f t="shared" ref="AY12" si="26">AW14</f>
        <v>Russie</v>
      </c>
      <c r="AZ12" s="3" t="str">
        <f t="shared" ref="AZ12" si="27">AW15</f>
        <v>Pays de Galles</v>
      </c>
      <c r="BA12" s="3" t="str">
        <f t="shared" ref="BA12" si="28">AW16</f>
        <v>Slovaquie</v>
      </c>
      <c r="BB12" s="3"/>
      <c r="BG12" s="45" t="str">
        <f t="shared" ref="BG12" si="29">BF13</f>
        <v>Angleterre</v>
      </c>
      <c r="BH12" s="3" t="str">
        <f t="shared" ref="BH12" si="30">BF14</f>
        <v>Russie</v>
      </c>
      <c r="BI12" s="3" t="str">
        <f t="shared" ref="BI12" si="31">BF15</f>
        <v>Pays de Galles</v>
      </c>
      <c r="BJ12" s="3" t="str">
        <f t="shared" ref="BJ12" si="32">BF16</f>
        <v>Slovaquie</v>
      </c>
      <c r="BL12" s="45"/>
      <c r="BM12" s="45"/>
      <c r="BO12" s="45"/>
      <c r="BP12" s="45"/>
      <c r="BQ12" s="45"/>
      <c r="BR12" s="45"/>
      <c r="BS12" s="45" t="s">
        <v>188</v>
      </c>
      <c r="BT12" s="45" t="s">
        <v>115</v>
      </c>
      <c r="BU12" s="45"/>
      <c r="BW12" s="45" t="str">
        <f t="shared" ref="BW12" si="33">BV13</f>
        <v>Angleterre</v>
      </c>
      <c r="BX12" s="3" t="str">
        <f t="shared" ref="BX12" si="34">BV14</f>
        <v>Russie</v>
      </c>
      <c r="BY12" s="3" t="str">
        <f t="shared" ref="BY12" si="35">BV15</f>
        <v>Pays de Galles</v>
      </c>
      <c r="BZ12" s="3" t="str">
        <f t="shared" ref="BZ12" si="36">BV16</f>
        <v>Slovaquie</v>
      </c>
      <c r="CA12" s="3"/>
      <c r="CF12" s="45" t="str">
        <f t="shared" ref="CF12" si="37">CE13</f>
        <v>Angleterre</v>
      </c>
      <c r="CG12" s="3" t="str">
        <f t="shared" ref="CG12" si="38">CE14</f>
        <v>Russie</v>
      </c>
      <c r="CH12" s="3" t="str">
        <f t="shared" ref="CH12" si="39">CE15</f>
        <v>Pays de Galles</v>
      </c>
      <c r="CI12" s="3" t="str">
        <f t="shared" ref="CI12" si="40">CE16</f>
        <v>Slovaquie</v>
      </c>
      <c r="CK12" s="45"/>
      <c r="CL12" s="45"/>
      <c r="CN12" s="45"/>
      <c r="CO12" s="45"/>
      <c r="CP12" s="45"/>
      <c r="CQ12" s="45"/>
      <c r="CR12" s="45" t="s">
        <v>188</v>
      </c>
      <c r="CS12" s="45" t="s">
        <v>115</v>
      </c>
      <c r="CT12" s="45"/>
      <c r="CV12" s="45"/>
      <c r="CW12" s="45"/>
      <c r="CY12" s="45"/>
      <c r="CZ12" s="45" t="s">
        <v>188</v>
      </c>
      <c r="DA12" s="45" t="s">
        <v>115</v>
      </c>
      <c r="DB12" s="45"/>
      <c r="DG12" s="45"/>
      <c r="DH12" s="45" t="s">
        <v>188</v>
      </c>
      <c r="DI12" s="45" t="s">
        <v>115</v>
      </c>
      <c r="DK12" s="376" t="s">
        <v>86</v>
      </c>
      <c r="DL12" s="377" t="s">
        <v>94</v>
      </c>
      <c r="DM12" s="377" t="s">
        <v>205</v>
      </c>
      <c r="DN12" s="377" t="s">
        <v>206</v>
      </c>
      <c r="DO12" s="377" t="s">
        <v>200</v>
      </c>
      <c r="DP12" s="376" t="s">
        <v>116</v>
      </c>
      <c r="DQ12" s="377" t="s">
        <v>86</v>
      </c>
    </row>
    <row r="13" spans="1:121" ht="15.75" thickBot="1" x14ac:dyDescent="0.3">
      <c r="A13" s="615"/>
      <c r="B13" s="369" t="str">
        <f>IF(B11&lt;&gt;"Equipe 1",B11,0)</f>
        <v>France</v>
      </c>
      <c r="C13" s="101"/>
      <c r="D13" s="101"/>
      <c r="E13" s="366" t="str">
        <f>'Matchs de Qualification'!C37</f>
        <v>Suisse</v>
      </c>
      <c r="F13" s="102" t="str">
        <f t="shared" si="20"/>
        <v>Non joué</v>
      </c>
      <c r="G13" s="443">
        <v>1</v>
      </c>
      <c r="H13" s="444">
        <v>2</v>
      </c>
      <c r="I13" s="425">
        <v>6</v>
      </c>
      <c r="J13" s="426">
        <v>4</v>
      </c>
      <c r="K13" s="100"/>
      <c r="L13" s="470">
        <v>2</v>
      </c>
      <c r="M13" s="471" t="str">
        <f>IF(COUNT(C11:D16)&lt;&gt;0,VLOOKUP(LARGE(DP7:DP10,2),DP7:DQ10,2,FALSE),"")</f>
        <v/>
      </c>
      <c r="N13" s="469">
        <f>IF(M13&lt;&gt;"",VLOOKUP(M13,DK7:DL10,2,FALSE),0)</f>
        <v>0</v>
      </c>
      <c r="O13" s="403"/>
      <c r="P13" s="608"/>
      <c r="Q13" s="610"/>
      <c r="R13" s="97"/>
      <c r="S13" s="97"/>
      <c r="T13" s="97"/>
      <c r="U13" s="97"/>
      <c r="V13" s="97"/>
      <c r="W13" s="97"/>
      <c r="X13" s="97"/>
      <c r="Y13" s="97"/>
      <c r="Z13" s="97"/>
      <c r="AA13" s="98"/>
      <c r="AO13" s="129"/>
      <c r="AP13" s="129"/>
      <c r="AQ13" s="45" t="str">
        <f t="shared" ref="AQ13" si="41">B17</f>
        <v>Angleterre</v>
      </c>
      <c r="AR13" s="493"/>
      <c r="AS13" s="45">
        <f t="shared" ref="AS13" si="42">C17</f>
        <v>0</v>
      </c>
      <c r="AT13" s="45">
        <f t="shared" ref="AT13" si="43">C18</f>
        <v>0</v>
      </c>
      <c r="AU13" s="45">
        <f t="shared" ref="AU13" si="44">C19</f>
        <v>0</v>
      </c>
      <c r="AW13" s="45" t="str">
        <f>IF(OR(VLOOKUP(B17,DK13:DL16,2,FALSE)=DL14,VLOOKUP(B17,DK13:DL16,2,FALSE)=DL15,VLOOKUP(B17,DK13:DL16,2,FALSE)=DL16),B17,"")</f>
        <v>Angleterre</v>
      </c>
      <c r="AX13" s="3"/>
      <c r="AY13" s="3" t="str">
        <f>IF(AND(AW13&lt;&gt;"",AY12&lt;&gt;""),IF(VLOOKUP(AW13,DK13:DL16,2,FALSE)=VLOOKUP(AY12,DK13:DL16,2,FALSE),IF(AS13&gt;AR14,"Vainqueur",IF(AS13&lt;AR14,"Perdant","Egalité")),"Pas d'égalité"),"")</f>
        <v>Egalité</v>
      </c>
      <c r="AZ13" s="3" t="str">
        <f>IF(AND(AW13&lt;&gt;"",AZ12&lt;&gt;""),IF(VLOOKUP(AW13,DK13:DL16,2,FALSE)=VLOOKUP(AZ12,DK13:DL16,2,FALSE),IF(AT13&gt;AR15,"Vainqueur",IF(AT13&lt;AR15,"Perdant","Egalité")),"Pas d'égalité"),"")</f>
        <v>Egalité</v>
      </c>
      <c r="BA13" s="3" t="str">
        <f>IF(AND(AW13&lt;&gt;"",BA12&lt;&gt;""),IF(VLOOKUP(AW13,DK13:DL16,2,FALSE)=VLOOKUP(BA12,DK13:DL16,2,FALSE),IF(AU13&gt;AR16,"Vainqueur",IF(AU13&lt;AR16,"Perdant","Egalité")),"Pas d'égalité"),"")</f>
        <v>Egalité</v>
      </c>
      <c r="BB13" s="3"/>
      <c r="BC13" s="45" t="str">
        <f t="shared" ref="BC13:BC16" si="45">AW13</f>
        <v>Angleterre</v>
      </c>
      <c r="BD13" s="3">
        <f t="shared" ref="BD13:BD16" si="46">IF(BC13&lt;&gt;"",3*COUNTIF(AX13:BA13,"Vainqueur")+COUNTIF(AX13:BA13,"Egalité"),"")</f>
        <v>3</v>
      </c>
      <c r="BF13" s="45" t="str">
        <f t="shared" ref="BF13:BF16" si="47">AW13</f>
        <v>Angleterre</v>
      </c>
      <c r="BG13" s="3"/>
      <c r="BH13" s="3">
        <f t="shared" ref="BH13" si="48">IF(OR(AY13="Vainqueur",AY13="Perdant",AY13="Egalité"),AS13,"")</f>
        <v>0</v>
      </c>
      <c r="BI13" s="3">
        <f t="shared" ref="BI13:BI14" si="49">IF(OR(AZ13="Vainqueur",AZ13="Perdant",AZ13="Egalité"),AT13,"")</f>
        <v>0</v>
      </c>
      <c r="BJ13" s="3">
        <f t="shared" ref="BJ13:BJ15" si="50">IF(OR(BA13="Vainqueur",BA13="Perdant",BA13="Egalité"),AU13,"")</f>
        <v>0</v>
      </c>
      <c r="BL13" s="45" t="str">
        <f t="shared" ref="BL13:BL16" si="51">AW13</f>
        <v>Angleterre</v>
      </c>
      <c r="BM13" s="3">
        <f t="shared" ref="BM13" si="52">IF(BL13&lt;&gt;"",SUM(BG13:BJ13)-SUM(BG13:BG16),"")</f>
        <v>0</v>
      </c>
      <c r="BO13" s="45" t="str">
        <f t="shared" ref="BO13" si="53">BF13</f>
        <v>Angleterre</v>
      </c>
      <c r="BP13" s="3">
        <f t="shared" ref="BP13:BP16" si="54">IF(BO13&lt;&gt;"",SUM(BG13:BJ13),"")</f>
        <v>0</v>
      </c>
      <c r="BR13" s="3" t="str">
        <f t="shared" ref="BR13" si="55">B17</f>
        <v>Angleterre</v>
      </c>
      <c r="BS13" s="45">
        <f>IF(BD13&lt;&gt;"",SUM(DL13,BD13/10^2,BM13/10^4,BP13/10^6),DL13)</f>
        <v>0.03</v>
      </c>
      <c r="BT13" s="45">
        <f t="shared" ref="BT13" si="56">RANK(BS13,BS13:BS16)</f>
        <v>1</v>
      </c>
      <c r="BV13" s="45" t="str">
        <f t="shared" ref="BV13" si="57">IF(OR(VLOOKUP(B17,BR13:BS16,2,FALSE)=BS14,VLOOKUP(B17,BR13:BS16,2,FALSE)=BS15,VLOOKUP(B17,BR13:BS16,2,FALSE)=BS16),B17,"")</f>
        <v>Angleterre</v>
      </c>
      <c r="BW13" s="3"/>
      <c r="BX13" s="3" t="str">
        <f t="shared" ref="BX13" si="58">IF(AND(BV13&lt;&gt;"",BX12&lt;&gt;""),IF(VLOOKUP(BV13,BR13:BS16,2,FALSE)=VLOOKUP(BX12,BR13:BS16,2,FALSE),IF(AS13&gt;AR14,"Vainqueur",IF(AS13&lt;AR14,"Perdant","Egalité")),"Pas d'égalité"),"")</f>
        <v>Egalité</v>
      </c>
      <c r="BY13" s="3" t="str">
        <f t="shared" ref="BY13" si="59">IF(AND(BV13&lt;&gt;"",BY12&lt;&gt;""),IF(VLOOKUP(BV13,BR13:BS16,2,FALSE)=VLOOKUP(BY12,BR13:BS16,2,FALSE),IF(AT13&gt;AR15,"Vainqueur",IF(AT13&lt;AR15,"Perdant","Egalité")),"Pas d'égalité"),"")</f>
        <v>Egalité</v>
      </c>
      <c r="BZ13" s="3" t="str">
        <f t="shared" ref="BZ13" si="60">IF(AND(BV13&lt;&gt;"",BZ12&lt;&gt;""),IF(VLOOKUP(BV13,BR13:BS16,2,FALSE)=VLOOKUP(BZ12,BR13:BS16,2,FALSE),IF(AU13&gt;AR16,"Vainqueur",IF(AU13&lt;AR16,"Perdant","Egalité")),"Pas d'égalité"),"")</f>
        <v>Egalité</v>
      </c>
      <c r="CA13" s="3"/>
      <c r="CB13" s="45" t="str">
        <f t="shared" ref="CB13:CB16" si="61">BV13</f>
        <v>Angleterre</v>
      </c>
      <c r="CC13" s="3">
        <f t="shared" ref="CC13:CC16" si="62">IF(CB13&lt;&gt;"",3*COUNTIF(BW13:BZ13,"Vainqueur")+COUNTIF(BW13:BZ13,"Egalité"),"")</f>
        <v>3</v>
      </c>
      <c r="CE13" s="45" t="str">
        <f>BV13</f>
        <v>Angleterre</v>
      </c>
      <c r="CF13" s="3"/>
      <c r="CG13" s="3">
        <f t="shared" ref="CG13" si="63">IF(OR(BX13="Vainqueur",BX13="Perdant",BX13="Egalité"),AS13,"")</f>
        <v>0</v>
      </c>
      <c r="CH13" s="3">
        <f t="shared" ref="CH13:CH14" si="64">IF(OR(BY13="Vainqueur",BY13="Perdant",BY13="Egalité"),AT13,"")</f>
        <v>0</v>
      </c>
      <c r="CI13" s="3">
        <f t="shared" ref="CI13:CI15" si="65">IF(OR(BZ13="Vainqueur",BZ13="Perdant",BZ13="Egalité"),AU13,"")</f>
        <v>0</v>
      </c>
      <c r="CK13" s="45" t="str">
        <f t="shared" ref="CK13:CK16" si="66">BV13</f>
        <v>Angleterre</v>
      </c>
      <c r="CL13" s="3">
        <f t="shared" ref="CL13" si="67">IF(CK13&lt;&gt;"",SUM(CF13:CI13)-SUM(CF13:CF16),"")</f>
        <v>0</v>
      </c>
      <c r="CN13" s="45" t="str">
        <f t="shared" ref="CN13" si="68">CE13</f>
        <v>Angleterre</v>
      </c>
      <c r="CO13" s="3">
        <f t="shared" ref="CO13:CO16" si="69">IF(CN13&lt;&gt;"",SUM(CF13:CI13),"")</f>
        <v>0</v>
      </c>
      <c r="CQ13" s="3" t="str">
        <f t="shared" ref="CQ13" si="70">B17</f>
        <v>Angleterre</v>
      </c>
      <c r="CR13" s="45">
        <f t="shared" ref="CR13:CR16" si="71">IF(CC13&lt;&gt;"",SUM(BS13,CC13/10^8,CL13/10^9,CO13/10^10),BS13)</f>
        <v>3.000003E-2</v>
      </c>
      <c r="CS13" s="45">
        <f t="shared" ref="CS13" si="72">RANK(CR13,CR13:CR16)</f>
        <v>1</v>
      </c>
      <c r="CU13" s="3" t="str">
        <f t="shared" ref="CU13" si="73">B17</f>
        <v>Angleterre</v>
      </c>
      <c r="CV13" s="3">
        <f t="shared" ref="CV13" si="74">SUM(AR13:AU13)-SUM(AR13:AR16)</f>
        <v>0</v>
      </c>
      <c r="CW13" s="3">
        <f t="shared" ref="CW13:CW16" si="75">SUM(AR13:AU13)</f>
        <v>0</v>
      </c>
      <c r="CY13" s="3" t="str">
        <f t="shared" ref="CY13" si="76">B17</f>
        <v>Angleterre</v>
      </c>
      <c r="CZ13" s="45">
        <f t="shared" ref="CZ13" si="77">IF(OR(CR13=CR14,CR13=CR15,CR13=CR16),SUM(CR13,CV13/10^12,CW13/10^14),CR13)</f>
        <v>3.000003E-2</v>
      </c>
      <c r="DA13" s="45">
        <f t="shared" ref="DA13" si="78">RANK(CZ13,CZ13:CZ16)</f>
        <v>1</v>
      </c>
      <c r="DB13" s="45"/>
      <c r="DC13" s="45" t="str">
        <f t="shared" ref="DC13" si="79">B17</f>
        <v>Angleterre</v>
      </c>
      <c r="DD13" s="45">
        <f>SUM(G17,G18,G19)</f>
        <v>0</v>
      </c>
      <c r="DE13" s="45">
        <f t="shared" ref="DE13" si="80">SUM(H17,H18,H19)</f>
        <v>0</v>
      </c>
      <c r="DG13" s="3" t="str">
        <f t="shared" ref="DG13" si="81">B17</f>
        <v>Angleterre</v>
      </c>
      <c r="DH13" s="45">
        <f t="shared" ref="DH13" si="82">IF(OR(CZ13=CZ14,CZ13=CZ15,CZ13=CZ16),SUM(CZ13,(-DD13-3*DE13)/10^15),CZ13)</f>
        <v>3.000003E-2</v>
      </c>
      <c r="DI13" s="45">
        <f t="shared" ref="DI13" si="83">RANK(DH13,DH13:DH16)</f>
        <v>1</v>
      </c>
      <c r="DK13" s="376" t="str">
        <f t="shared" ref="DK13" si="84">B17</f>
        <v>Angleterre</v>
      </c>
      <c r="DL13" s="377">
        <f t="shared" ref="DL13" si="85">COUNTIF(F17:F22,B17)*3+COUNTIF(F17:F19,"Égalité")</f>
        <v>0</v>
      </c>
      <c r="DM13" s="377">
        <f t="shared" ref="DM13:DM16" si="86">BS13</f>
        <v>0.03</v>
      </c>
      <c r="DN13" s="376">
        <f t="shared" ref="DN13:DN16" si="87">CR13</f>
        <v>3.000003E-2</v>
      </c>
      <c r="DO13" s="376">
        <f t="shared" ref="DO13:DO16" si="88">CZ13</f>
        <v>3.000003E-2</v>
      </c>
      <c r="DP13" s="401">
        <f t="shared" ref="DP13:DP16" si="89">DH13</f>
        <v>3.000003E-2</v>
      </c>
      <c r="DQ13" s="377" t="str">
        <f t="shared" ref="DQ13" si="90">B17</f>
        <v>Angleterre</v>
      </c>
    </row>
    <row r="14" spans="1:121" ht="15.75" customHeight="1" thickBot="1" x14ac:dyDescent="0.3">
      <c r="A14" s="615"/>
      <c r="B14" s="369" t="str">
        <f>'Matchs de Qualification'!L7</f>
        <v>Roumanie</v>
      </c>
      <c r="C14" s="101"/>
      <c r="D14" s="101"/>
      <c r="E14" s="366" t="str">
        <f>IF(B16&lt;&gt;"Equipe 3",B16,0)</f>
        <v>Albanie</v>
      </c>
      <c r="F14" s="102" t="str">
        <f t="shared" si="20"/>
        <v>Non joué</v>
      </c>
      <c r="G14" s="443">
        <v>3</v>
      </c>
      <c r="H14" s="444">
        <v>1</v>
      </c>
      <c r="I14" s="425">
        <v>3</v>
      </c>
      <c r="J14" s="426">
        <v>4</v>
      </c>
      <c r="K14" s="100"/>
      <c r="L14" s="102">
        <v>3</v>
      </c>
      <c r="M14" s="330" t="str">
        <f>IF(COUNT(C11:D16)&lt;&gt;0,VLOOKUP(LARGE(DP7:DP10,3),DP7:DQ10,2,FALSE),"")</f>
        <v/>
      </c>
      <c r="N14" s="330">
        <f>IF(M14&lt;&gt;"",VLOOKUP(M14,DK7:DL10,2,FALSE),0)</f>
        <v>0</v>
      </c>
      <c r="O14" s="403"/>
      <c r="P14" s="608" t="str">
        <f>AW64</f>
        <v/>
      </c>
      <c r="Q14" s="610"/>
      <c r="R14" s="97"/>
      <c r="S14" s="97"/>
      <c r="T14" s="97"/>
      <c r="U14" s="97"/>
      <c r="V14" s="97"/>
      <c r="W14" s="97"/>
      <c r="X14" s="97"/>
      <c r="Y14" s="97"/>
      <c r="Z14" s="97"/>
      <c r="AA14" s="98"/>
      <c r="AC14" s="577" t="s">
        <v>199</v>
      </c>
      <c r="AD14" s="578"/>
      <c r="AE14" s="578"/>
      <c r="AF14" s="578"/>
      <c r="AG14" s="578"/>
      <c r="AH14" s="578"/>
      <c r="AI14" s="579"/>
      <c r="AO14" s="129"/>
      <c r="AP14" s="129"/>
      <c r="AQ14" s="45" t="str">
        <f t="shared" ref="AQ14" si="91">B20</f>
        <v>Russie</v>
      </c>
      <c r="AR14" s="45">
        <f t="shared" ref="AR14:AR16" si="92">D17</f>
        <v>0</v>
      </c>
      <c r="AS14" s="493"/>
      <c r="AT14" s="45">
        <f t="shared" ref="AT14" si="93">C20</f>
        <v>0</v>
      </c>
      <c r="AU14" s="45">
        <f t="shared" ref="AU14:AU15" si="94">C21</f>
        <v>0</v>
      </c>
      <c r="AW14" s="45" t="str">
        <f>IF(OR(VLOOKUP(B20,DK13:DL16,2,FALSE)=DL13,VLOOKUP(B20,DK13:DL16,2,FALSE)=DL15,VLOOKUP(B20,DK13:DL16,2,FALSE)=DL16),B20,"")</f>
        <v>Russie</v>
      </c>
      <c r="AX14" s="3" t="str">
        <f>IF(AND(AW14&lt;&gt;"",AX12&lt;&gt;""),IF(VLOOKUP(AW14,DK13:DL16,2,FALSE)=VLOOKUP(AX12,DK13:DL16,2,FALSE),IF(AR14&gt;AS13,"Vainqueur",IF(AR14&lt;AS13,"Perdant","Egalité")),"Pas d'égalité"),"")</f>
        <v>Egalité</v>
      </c>
      <c r="AY14" s="3"/>
      <c r="AZ14" s="3" t="str">
        <f>IF(AND(AW14&lt;&gt;"",AZ12&lt;&gt;""),IF(VLOOKUP(AW14,DK13:DL16,2,FALSE)=VLOOKUP(AZ12,DK13:DL16,2,FALSE),IF(AT14&gt;AS15,"Vainqueur",IF(AT14&lt;AS15,"Perdant","Egalité")),"Pas d'égalité"),"")</f>
        <v>Egalité</v>
      </c>
      <c r="BA14" s="3" t="str">
        <f>IF(AND(AW14&lt;&gt;"",BA12&lt;&gt;""),IF(VLOOKUP(AW14,DK13:DL16,2,FALSE)=VLOOKUP(BA12,DK13:DL16,2,FALSE),IF(AU14&gt;AS16,"Vainqueur",IF(AU14&lt;AS16,"Perdant","Egalité")),"Pas d'égalité"),"")</f>
        <v>Egalité</v>
      </c>
      <c r="BB14" s="3"/>
      <c r="BC14" s="45" t="str">
        <f t="shared" si="45"/>
        <v>Russie</v>
      </c>
      <c r="BD14" s="3">
        <f t="shared" si="46"/>
        <v>3</v>
      </c>
      <c r="BF14" s="45" t="str">
        <f t="shared" si="47"/>
        <v>Russie</v>
      </c>
      <c r="BG14" s="3">
        <f t="shared" ref="BG14:BG16" si="95">IF(OR(AX14="Vainqueur",AX14="Perdant",AX14="Egalité"),AR14,"")</f>
        <v>0</v>
      </c>
      <c r="BI14" s="3">
        <f t="shared" si="49"/>
        <v>0</v>
      </c>
      <c r="BJ14" s="3">
        <f t="shared" si="50"/>
        <v>0</v>
      </c>
      <c r="BL14" s="45" t="str">
        <f t="shared" si="51"/>
        <v>Russie</v>
      </c>
      <c r="BM14" s="3">
        <f t="shared" ref="BM14" si="96">IF(BL14&lt;&gt;"",SUM(BG14:BJ14)-SUM(BH13:BH16),"")</f>
        <v>0</v>
      </c>
      <c r="BO14" s="45" t="str">
        <f t="shared" ref="BO14:BO16" si="97">AW14</f>
        <v>Russie</v>
      </c>
      <c r="BP14" s="3">
        <f t="shared" si="54"/>
        <v>0</v>
      </c>
      <c r="BR14" s="3" t="str">
        <f t="shared" ref="BR14" si="98">B20</f>
        <v>Russie</v>
      </c>
      <c r="BS14" s="45">
        <f>IF(BD14&lt;&gt;"",SUM(DL14,BD14/10^2,BM14/10^4,BP14/10^6),DL14)</f>
        <v>0.03</v>
      </c>
      <c r="BT14" s="45">
        <f t="shared" ref="BT14" si="99">RANK(BS14,BS13:BS16)</f>
        <v>1</v>
      </c>
      <c r="BV14" s="45" t="str">
        <f t="shared" ref="BV14" si="100">IF(OR(VLOOKUP(B20,BR13:BS16,2,FALSE)=BS13,VLOOKUP(B20,BR13:BS16,2,FALSE)=BS15,VLOOKUP(B20,BR13:BS16,2,FALSE)=BS16),B20,"")</f>
        <v>Russie</v>
      </c>
      <c r="BW14" s="3" t="str">
        <f t="shared" ref="BW14" si="101">IF(AND(BV14&lt;&gt;"",BW12&lt;&gt;""),IF(VLOOKUP(BV14,BR13:BS16,2,FALSE)=VLOOKUP(BW12,BR13:BS16,2,FALSE),IF(AR14&gt;AS13,"Vainqueur",IF(AR14&lt;AS13,"Perdant","Egalité")),"Pas d'égalité"),"")</f>
        <v>Egalité</v>
      </c>
      <c r="BX14" s="3"/>
      <c r="BY14" s="3" t="str">
        <f t="shared" ref="BY14" si="102">IF(AND(BV14&lt;&gt;"",BY12&lt;&gt;""),IF(VLOOKUP(BV14,BR13:BS16,2,FALSE)=VLOOKUP(BY12,BR13:BS16,2,FALSE),IF(AT14&gt;AS15,"Vainqueur",IF(AT14&lt;AS15,"Perdant","Egalité")),"Pas d'égalité"),"")</f>
        <v>Egalité</v>
      </c>
      <c r="BZ14" s="3" t="str">
        <f t="shared" ref="BZ14" si="103">IF(AND(BV14&lt;&gt;"",BZ12&lt;&gt;""),IF(VLOOKUP(BV14,BR13:BS16,2,FALSE)=VLOOKUP(BZ12,BR13:BS16,2,FALSE),IF(AU14&gt;AS16,"Vainqueur",IF(AU14&lt;AS16,"Perdant","Egalité")),"Pas d'égalité"),"")</f>
        <v>Egalité</v>
      </c>
      <c r="CA14" s="3"/>
      <c r="CB14" s="45" t="str">
        <f t="shared" si="61"/>
        <v>Russie</v>
      </c>
      <c r="CC14" s="3">
        <f t="shared" si="62"/>
        <v>3</v>
      </c>
      <c r="CE14" s="45" t="str">
        <f t="shared" ref="CE14:CE16" si="104">BV14</f>
        <v>Russie</v>
      </c>
      <c r="CF14" s="3">
        <f t="shared" ref="CF14:CF16" si="105">IF(OR(BW14="Vainqueur",BW14="Perdant",BW14="Egalité"),AR14,"")</f>
        <v>0</v>
      </c>
      <c r="CH14" s="3">
        <f t="shared" si="64"/>
        <v>0</v>
      </c>
      <c r="CI14" s="3">
        <f t="shared" si="65"/>
        <v>0</v>
      </c>
      <c r="CK14" s="45" t="str">
        <f t="shared" si="66"/>
        <v>Russie</v>
      </c>
      <c r="CL14" s="3">
        <f t="shared" ref="CL14" si="106">IF(CK14&lt;&gt;"",SUM(CF14:CI14)-SUM(CG13:CG16),"")</f>
        <v>0</v>
      </c>
      <c r="CN14" s="45" t="str">
        <f t="shared" ref="CN14:CN16" si="107">BV14</f>
        <v>Russie</v>
      </c>
      <c r="CO14" s="3">
        <f t="shared" si="69"/>
        <v>0</v>
      </c>
      <c r="CQ14" s="3" t="str">
        <f t="shared" ref="CQ14" si="108">B20</f>
        <v>Russie</v>
      </c>
      <c r="CR14" s="45">
        <f t="shared" si="71"/>
        <v>3.000003E-2</v>
      </c>
      <c r="CS14" s="45">
        <f t="shared" ref="CS14" si="109">RANK(CR14,CR13:CR16)</f>
        <v>1</v>
      </c>
      <c r="CU14" s="3" t="str">
        <f t="shared" ref="CU14" si="110">B20</f>
        <v>Russie</v>
      </c>
      <c r="CV14" s="3">
        <f t="shared" ref="CV14" si="111">SUM(AR14:AU14)-SUM(AS13:AS16)</f>
        <v>0</v>
      </c>
      <c r="CW14" s="3">
        <f t="shared" si="75"/>
        <v>0</v>
      </c>
      <c r="CY14" s="3" t="str">
        <f t="shared" ref="CY14" si="112">B20</f>
        <v>Russie</v>
      </c>
      <c r="CZ14" s="45">
        <f t="shared" ref="CZ14" si="113">IF(OR(CR14=CR13,CR14=CR15,CR14=CR16),SUM(CR14,CV14/10^12,CW14/10^14),CR14)</f>
        <v>3.000003E-2</v>
      </c>
      <c r="DA14" s="45">
        <f t="shared" ref="DA14" si="114">RANK(CZ14,CZ13:CZ16)</f>
        <v>1</v>
      </c>
      <c r="DB14" s="45"/>
      <c r="DC14" s="45" t="str">
        <f t="shared" ref="DC14" si="115">B20</f>
        <v>Russie</v>
      </c>
      <c r="DD14" s="45">
        <f t="shared" ref="DD14:DE14" si="116">SUM(G20,G21,I17)</f>
        <v>0</v>
      </c>
      <c r="DE14" s="45">
        <f t="shared" si="116"/>
        <v>0</v>
      </c>
      <c r="DG14" s="3" t="str">
        <f t="shared" ref="DG14" si="117">B20</f>
        <v>Russie</v>
      </c>
      <c r="DH14" s="45">
        <f t="shared" ref="DH14" si="118">IF(OR(CZ14=CZ13,CZ14=CZ15,CZ14=CZ16),SUM(CZ14,(-DD14-3*DE14)/10^15),CZ14)</f>
        <v>3.000003E-2</v>
      </c>
      <c r="DI14" s="45">
        <f t="shared" ref="DI14" si="119">RANK(DH14,DH13:DH16)</f>
        <v>1</v>
      </c>
      <c r="DK14" s="376" t="str">
        <f t="shared" ref="DK14" si="120">B20</f>
        <v>Russie</v>
      </c>
      <c r="DL14" s="377">
        <f t="shared" ref="DL14" si="121">COUNTIF(F17:F22,B20)*3+COUNTIF(F17,"Égalité")+COUNTIF(F20:F21,"Égalité")</f>
        <v>0</v>
      </c>
      <c r="DM14" s="377">
        <f t="shared" si="86"/>
        <v>0.03</v>
      </c>
      <c r="DN14" s="376">
        <f t="shared" si="87"/>
        <v>3.000003E-2</v>
      </c>
      <c r="DO14" s="376">
        <f t="shared" si="88"/>
        <v>3.000003E-2</v>
      </c>
      <c r="DP14" s="401">
        <f t="shared" si="89"/>
        <v>3.000003E-2</v>
      </c>
      <c r="DQ14" s="377" t="str">
        <f t="shared" ref="DQ14" si="122">B20</f>
        <v>Russie</v>
      </c>
    </row>
    <row r="15" spans="1:121" ht="15.75" thickBot="1" x14ac:dyDescent="0.3">
      <c r="A15" s="615"/>
      <c r="B15" s="369" t="str">
        <f>IF(B14&lt;&gt;"Equipe 2",B14,0)</f>
        <v>Roumanie</v>
      </c>
      <c r="C15" s="101"/>
      <c r="D15" s="101"/>
      <c r="E15" s="366" t="str">
        <f>IF(E13&lt;&gt;"Equipe 4",E13,0)</f>
        <v>Suisse</v>
      </c>
      <c r="F15" s="102" t="str">
        <f t="shared" si="20"/>
        <v>Non joué</v>
      </c>
      <c r="G15" s="443">
        <v>5</v>
      </c>
      <c r="H15" s="444">
        <v>1</v>
      </c>
      <c r="I15" s="425">
        <v>3</v>
      </c>
      <c r="J15" s="426">
        <v>1</v>
      </c>
      <c r="K15" s="100"/>
      <c r="L15" s="103">
        <v>4</v>
      </c>
      <c r="M15" s="331" t="str">
        <f t="shared" ref="M15" si="123">IF(COUNT(C11:D16)&lt;&gt;0,VLOOKUP(LARGE(DP7:DP10,4),DP7:DQ10,2,FALSE),"")</f>
        <v/>
      </c>
      <c r="N15" s="103">
        <f>IF(M15&lt;&gt;"",VLOOKUP(M15,DK7:DL10,2,FALSE),0)</f>
        <v>0</v>
      </c>
      <c r="O15" s="403" t="s">
        <v>171</v>
      </c>
      <c r="P15" s="609"/>
      <c r="Q15" s="611"/>
      <c r="R15" s="97"/>
      <c r="S15" s="97"/>
      <c r="T15" s="97"/>
      <c r="U15" s="97"/>
      <c r="V15" s="612" t="str">
        <f>IF(T9&lt;&gt;T11,IF(T9&gt;T11,S9,S11),"")</f>
        <v/>
      </c>
      <c r="W15" s="613"/>
      <c r="X15" s="97"/>
      <c r="Y15" s="97"/>
      <c r="Z15" s="97"/>
      <c r="AA15" s="98"/>
      <c r="AC15" s="580"/>
      <c r="AD15" s="581"/>
      <c r="AE15" s="581"/>
      <c r="AF15" s="581"/>
      <c r="AG15" s="581"/>
      <c r="AH15" s="581"/>
      <c r="AI15" s="582"/>
      <c r="AO15" s="129"/>
      <c r="AP15" s="129"/>
      <c r="AQ15" s="45" t="str">
        <f t="shared" ref="AQ15" si="124">B22</f>
        <v>Pays de Galles</v>
      </c>
      <c r="AR15" s="45">
        <f t="shared" si="92"/>
        <v>0</v>
      </c>
      <c r="AS15" s="45">
        <f t="shared" ref="AS15:AS16" si="125">D20</f>
        <v>0</v>
      </c>
      <c r="AT15" s="493"/>
      <c r="AU15" s="45">
        <f t="shared" si="94"/>
        <v>0</v>
      </c>
      <c r="AW15" s="45" t="str">
        <f>IF(OR(VLOOKUP(B22,DK13:DL16,2,FALSE)=DL13,VLOOKUP(B22,DK13:DL16,2,FALSE)=DL14,VLOOKUP(B22,DK13:DL16,2,FALSE)=DL16),B22,"")</f>
        <v>Pays de Galles</v>
      </c>
      <c r="AX15" s="3" t="str">
        <f>IF(AND(AW15&lt;&gt;"",AX12&lt;&gt;""),IF(VLOOKUP(AW15,DK13:DL16,2,FALSE)=VLOOKUP(AX12,DK13:DL16,2,FALSE),IF(AR15&gt;AT13,"Vainqueur",IF(AR15&lt;AT13,"Perdant","Egalité")),"Pas d'égalité"),"")</f>
        <v>Egalité</v>
      </c>
      <c r="AY15" s="3" t="str">
        <f>IF(AND(AW15&lt;&gt;"",AY12&lt;&gt;""),IF(VLOOKUP(AW15,DK13:DL16,2,FALSE)=VLOOKUP(AY12,DK13:DL16,2,FALSE),IF(AS15&gt;AT14,"Vainqueur",IF(AS15&lt;AT14,"Perdant","Egalité")),"Pas d'égalité"),"")</f>
        <v>Egalité</v>
      </c>
      <c r="AZ15" s="3"/>
      <c r="BA15" s="3" t="str">
        <f>IF(AND(AW15&lt;&gt;"",BA12&lt;&gt;""),IF(VLOOKUP(AW15,DK13:DL16,2,FALSE)=VLOOKUP(BA12,DK13:DL16,2,FALSE),IF(AU15&gt;AT16,"Vainqueur",IF(AU15&lt;AT16,"Perdant","Egalité")),"Pas d'égalité"),"")</f>
        <v>Egalité</v>
      </c>
      <c r="BB15" s="3"/>
      <c r="BC15" s="45" t="str">
        <f t="shared" si="45"/>
        <v>Pays de Galles</v>
      </c>
      <c r="BD15" s="3">
        <f t="shared" si="46"/>
        <v>3</v>
      </c>
      <c r="BF15" s="45" t="str">
        <f t="shared" si="47"/>
        <v>Pays de Galles</v>
      </c>
      <c r="BG15" s="3">
        <f t="shared" si="95"/>
        <v>0</v>
      </c>
      <c r="BH15" s="3">
        <f t="shared" ref="BH15:BH16" si="126">IF(OR(AY15="Vainqueur",AY15="Perdant",AY15="Egalité"),AS15,"")</f>
        <v>0</v>
      </c>
      <c r="BJ15" s="3">
        <f t="shared" si="50"/>
        <v>0</v>
      </c>
      <c r="BL15" s="45" t="str">
        <f t="shared" si="51"/>
        <v>Pays de Galles</v>
      </c>
      <c r="BM15" s="3">
        <f>IF(BL15&lt;&gt;"",SUM(BG15:BJ15)-SUM(BI13:BI16),"")</f>
        <v>0</v>
      </c>
      <c r="BO15" s="45" t="str">
        <f t="shared" si="97"/>
        <v>Pays de Galles</v>
      </c>
      <c r="BP15" s="3">
        <f t="shared" si="54"/>
        <v>0</v>
      </c>
      <c r="BR15" s="3" t="str">
        <f t="shared" ref="BR15" si="127">B22</f>
        <v>Pays de Galles</v>
      </c>
      <c r="BS15" s="45">
        <f>IF(BD15&lt;&gt;"",SUM(DL15,BD15/10^2,BM15/10^4,BP15/10^6),DL15)</f>
        <v>0.03</v>
      </c>
      <c r="BT15" s="45">
        <f t="shared" ref="BT15" si="128">RANK(BS15,BS13:BS16)</f>
        <v>1</v>
      </c>
      <c r="BV15" s="45" t="str">
        <f t="shared" ref="BV15" si="129">IF(OR(VLOOKUP(B22,BR13:BS16,2,FALSE)=BS13,VLOOKUP(B22,BR13:BS16,2,FALSE)=BS14,VLOOKUP(B22,BR13:BS16,2,FALSE)=BS16),B22,"")</f>
        <v>Pays de Galles</v>
      </c>
      <c r="BW15" s="3" t="str">
        <f t="shared" ref="BW15" si="130">IF(AND(BV15&lt;&gt;"",BW12&lt;&gt;""),IF(VLOOKUP(BV15,BR13:BS16,2,FALSE)=VLOOKUP(BW12,BR13:BS16,2,FALSE),IF(AR15&gt;AT13,"Vainqueur",IF(AR15&lt;AT13,"Perdant","Egalité")),"Pas d'égalité"),"")</f>
        <v>Egalité</v>
      </c>
      <c r="BX15" s="3" t="str">
        <f t="shared" ref="BX15" si="131">IF(AND(BV15&lt;&gt;"",BX12&lt;&gt;""),IF(VLOOKUP(BV15,BR13:BS16,2,FALSE)=VLOOKUP(BX12,BR13:BS16,2,FALSE),IF(AS15&gt;AT14,"Vainqueur",IF(AS15&lt;AT14,"Perdant","Egalité")),"Pas d'égalité"),"")</f>
        <v>Egalité</v>
      </c>
      <c r="BY15" s="3"/>
      <c r="BZ15" s="3" t="str">
        <f t="shared" ref="BZ15" si="132">IF(AND(BV15&lt;&gt;"",BZ12&lt;&gt;""),IF(VLOOKUP(BV15,BR13:BS16,2,FALSE)=VLOOKUP(BZ12,BR13:BS16,2,FALSE),IF(AU15&gt;AT16,"Vainqueur",IF(AU15&lt;AT16,"Perdant","Egalité")),"Pas d'égalité"),"")</f>
        <v>Egalité</v>
      </c>
      <c r="CA15" s="3"/>
      <c r="CB15" s="45" t="str">
        <f t="shared" si="61"/>
        <v>Pays de Galles</v>
      </c>
      <c r="CC15" s="3">
        <f t="shared" si="62"/>
        <v>3</v>
      </c>
      <c r="CE15" s="45" t="str">
        <f t="shared" si="104"/>
        <v>Pays de Galles</v>
      </c>
      <c r="CF15" s="3">
        <f t="shared" si="105"/>
        <v>0</v>
      </c>
      <c r="CG15" s="3">
        <f t="shared" ref="CG15:CG16" si="133">IF(OR(BX15="Vainqueur",BX15="Perdant",BX15="Egalité"),AS15,"")</f>
        <v>0</v>
      </c>
      <c r="CI15" s="3">
        <f t="shared" si="65"/>
        <v>0</v>
      </c>
      <c r="CK15" s="45" t="str">
        <f t="shared" si="66"/>
        <v>Pays de Galles</v>
      </c>
      <c r="CL15" s="3">
        <f t="shared" ref="CL15" si="134">IF(CK15&lt;&gt;"",SUM(CF15:CI15)-SUM(CH13:CH16),"")</f>
        <v>0</v>
      </c>
      <c r="CN15" s="45" t="str">
        <f t="shared" si="107"/>
        <v>Pays de Galles</v>
      </c>
      <c r="CO15" s="3">
        <f t="shared" si="69"/>
        <v>0</v>
      </c>
      <c r="CQ15" s="3" t="str">
        <f t="shared" ref="CQ15" si="135">B22</f>
        <v>Pays de Galles</v>
      </c>
      <c r="CR15" s="45">
        <f t="shared" si="71"/>
        <v>3.000003E-2</v>
      </c>
      <c r="CS15" s="45">
        <f t="shared" ref="CS15" si="136">RANK(CR15,CR13:CR16)</f>
        <v>1</v>
      </c>
      <c r="CU15" s="3" t="str">
        <f t="shared" ref="CU15" si="137">B22</f>
        <v>Pays de Galles</v>
      </c>
      <c r="CV15" s="3">
        <f t="shared" ref="CV15" si="138">SUM(AR15:AU15)-SUM(AT13:AT16)</f>
        <v>0</v>
      </c>
      <c r="CW15" s="3">
        <f t="shared" si="75"/>
        <v>0</v>
      </c>
      <c r="CY15" s="3" t="str">
        <f t="shared" ref="CY15" si="139">B22</f>
        <v>Pays de Galles</v>
      </c>
      <c r="CZ15" s="45">
        <f t="shared" ref="CZ15" si="140">IF(OR(CR15=CR13,CR15=CR14,CR15=CR16),SUM(CR15,CV15/10^12,CW15/10^14),CR15)</f>
        <v>3.000003E-2</v>
      </c>
      <c r="DA15" s="45">
        <f t="shared" ref="DA15" si="141">RANK(CZ15,CZ13:CZ16)</f>
        <v>1</v>
      </c>
      <c r="DB15" s="45"/>
      <c r="DC15" s="45" t="str">
        <f t="shared" ref="DC15" si="142">B22</f>
        <v>Pays de Galles</v>
      </c>
      <c r="DD15" s="45">
        <f t="shared" ref="DD15:DE15" si="143">SUM(G22,I18,I20)</f>
        <v>0</v>
      </c>
      <c r="DE15" s="45">
        <f t="shared" si="143"/>
        <v>0</v>
      </c>
      <c r="DG15" s="3" t="str">
        <f t="shared" ref="DG15" si="144">B22</f>
        <v>Pays de Galles</v>
      </c>
      <c r="DH15" s="45">
        <f t="shared" ref="DH15" si="145">IF(OR(CZ15=CZ13,CZ15=CZ14,CZ15=CZ16),SUM(CZ15,(-DD15-3*DE15)/10^15),CZ15)</f>
        <v>3.000003E-2</v>
      </c>
      <c r="DI15" s="45">
        <f t="shared" ref="DI15" si="146">RANK(DH15,DH13:DH16)</f>
        <v>1</v>
      </c>
      <c r="DK15" s="376" t="str">
        <f t="shared" ref="DK15" si="147">B22</f>
        <v>Pays de Galles</v>
      </c>
      <c r="DL15" s="377">
        <f t="shared" ref="DL15" si="148">COUNTIF(F17:F22,B22)*3+COUNTIF(F18,"Égalité")+COUNTIF(F20,"Égalité")+COUNTIF(F22,"Égalité")</f>
        <v>0</v>
      </c>
      <c r="DM15" s="377">
        <f t="shared" si="86"/>
        <v>0.03</v>
      </c>
      <c r="DN15" s="376">
        <f t="shared" si="87"/>
        <v>3.000003E-2</v>
      </c>
      <c r="DO15" s="376">
        <f t="shared" si="88"/>
        <v>3.000003E-2</v>
      </c>
      <c r="DP15" s="401">
        <f t="shared" si="89"/>
        <v>3.000003E-2</v>
      </c>
      <c r="DQ15" s="377" t="str">
        <f t="shared" ref="DQ15" si="149">B22</f>
        <v>Pays de Galles</v>
      </c>
    </row>
    <row r="16" spans="1:121" ht="15.75" thickBot="1" x14ac:dyDescent="0.3">
      <c r="A16" s="616"/>
      <c r="B16" s="372" t="str">
        <f>'Matchs de Qualification'!L29</f>
        <v>Albanie</v>
      </c>
      <c r="C16" s="104"/>
      <c r="D16" s="104"/>
      <c r="E16" s="367" t="str">
        <f>IF(E13&lt;&gt;"Equipe 4",E13,0)</f>
        <v>Suisse</v>
      </c>
      <c r="F16" s="103" t="str">
        <f t="shared" si="20"/>
        <v>Non joué</v>
      </c>
      <c r="G16" s="443">
        <v>4</v>
      </c>
      <c r="H16" s="444">
        <v>2</v>
      </c>
      <c r="I16" s="425">
        <v>2</v>
      </c>
      <c r="J16" s="426">
        <v>3</v>
      </c>
      <c r="K16" s="100"/>
      <c r="L16" s="97"/>
      <c r="M16" s="97"/>
      <c r="N16" s="97"/>
      <c r="O16" s="403"/>
      <c r="P16" s="97" t="s">
        <v>125</v>
      </c>
      <c r="Q16" s="97"/>
      <c r="R16" s="97"/>
      <c r="S16" s="97"/>
      <c r="T16" s="97"/>
      <c r="U16" s="97"/>
      <c r="V16" s="608"/>
      <c r="W16" s="610"/>
      <c r="X16" s="97"/>
      <c r="Y16" s="97"/>
      <c r="Z16" s="97"/>
      <c r="AA16" s="98"/>
      <c r="AC16" s="583"/>
      <c r="AD16" s="584"/>
      <c r="AE16" s="584"/>
      <c r="AF16" s="584"/>
      <c r="AG16" s="584"/>
      <c r="AH16" s="584"/>
      <c r="AI16" s="585"/>
      <c r="AO16" s="129"/>
      <c r="AP16" s="129"/>
      <c r="AQ16" s="45" t="str">
        <f t="shared" ref="AQ16" si="150">E19</f>
        <v>Slovaquie</v>
      </c>
      <c r="AR16" s="45">
        <f t="shared" si="92"/>
        <v>0</v>
      </c>
      <c r="AS16" s="45">
        <f t="shared" si="125"/>
        <v>0</v>
      </c>
      <c r="AT16" s="45">
        <f t="shared" ref="AT16" si="151">D22</f>
        <v>0</v>
      </c>
      <c r="AU16" s="493"/>
      <c r="AW16" s="45" t="str">
        <f>IF(OR(VLOOKUP(E19,DK13:DL16,2,FALSE)=DL13,VLOOKUP(E19,DK13:DL16,2,FALSE)=DL14,VLOOKUP(E19,DK13:DL16,2,FALSE)=DL15),E19,"")</f>
        <v>Slovaquie</v>
      </c>
      <c r="AX16" s="3" t="str">
        <f>IF(AND(AW16&lt;&gt;"",AX12&lt;&gt;""),IF(VLOOKUP(AW16,DK13:DL16,2,FALSE)=VLOOKUP(AX12,DK13:DL16,2,FALSE),IF(AR16&gt;AU13,"Vainqueur",IF(AR16&lt;AU13,"Perdant","Egalité")),"Pas d'égalité"),"")</f>
        <v>Egalité</v>
      </c>
      <c r="AY16" s="3" t="str">
        <f>IF(AND(AW16&lt;&gt;"",AY12&lt;&gt;""),IF(VLOOKUP(AW16,DK13:DL16,2,FALSE)=VLOOKUP(AY12,DK13:DL16,2,FALSE),IF(AS16&gt;AU14,"Vainqueur",IF(AS16&lt;AU14,"Perdant","Egalité")),"Pas d'égalité"),"")</f>
        <v>Egalité</v>
      </c>
      <c r="AZ16" s="3" t="str">
        <f>IF(AND(AW16&lt;&gt;"",AZ12&lt;&gt;""),IF(VLOOKUP(AW16,DK13:DL16,2,FALSE)=VLOOKUP(AZ12,DK13:DL16,2,FALSE),IF(AT16&gt;AU15,"Vainqueur",IF(AT16&lt;AU15,"Perdant","Egalité")),"Pas d'égalité"),"")</f>
        <v>Egalité</v>
      </c>
      <c r="BA16" s="3"/>
      <c r="BB16" s="3"/>
      <c r="BC16" s="45" t="str">
        <f t="shared" si="45"/>
        <v>Slovaquie</v>
      </c>
      <c r="BD16" s="3">
        <f t="shared" si="46"/>
        <v>3</v>
      </c>
      <c r="BF16" s="45" t="str">
        <f t="shared" si="47"/>
        <v>Slovaquie</v>
      </c>
      <c r="BG16" s="3">
        <f t="shared" si="95"/>
        <v>0</v>
      </c>
      <c r="BH16" s="3">
        <f t="shared" si="126"/>
        <v>0</v>
      </c>
      <c r="BI16" s="3">
        <f t="shared" ref="BI16" si="152">IF(OR(AZ16="Vainqueur",AZ16="Perdant",AZ16="Egalité"),AT16,"")</f>
        <v>0</v>
      </c>
      <c r="BL16" s="45" t="str">
        <f t="shared" si="51"/>
        <v>Slovaquie</v>
      </c>
      <c r="BM16" s="3">
        <f t="shared" ref="BM16" si="153">IF(BL16&lt;&gt;"",SUM(BG16:BJ16)-SUM(BJ13:BJ16),"")</f>
        <v>0</v>
      </c>
      <c r="BO16" s="45" t="str">
        <f t="shared" si="97"/>
        <v>Slovaquie</v>
      </c>
      <c r="BP16" s="3">
        <f t="shared" si="54"/>
        <v>0</v>
      </c>
      <c r="BR16" s="3" t="str">
        <f t="shared" ref="BR16" si="154">E19</f>
        <v>Slovaquie</v>
      </c>
      <c r="BS16" s="45">
        <f>IF(BD16&lt;&gt;"",SUM(DL16,BD16/10^2,BM16/10^4,BP16/10^6),DL16)</f>
        <v>0.03</v>
      </c>
      <c r="BT16" s="45">
        <f t="shared" ref="BT16" si="155">RANK(BS16,BS13:BS16)</f>
        <v>1</v>
      </c>
      <c r="BV16" s="45" t="str">
        <f t="shared" ref="BV16" si="156">IF(OR(VLOOKUP(E19,BR13:BS16,2,FALSE)=BS13,VLOOKUP(E19,BR13:BS16,2,FALSE)=BS14,VLOOKUP(E19,BR13:BS16,2,FALSE)=BS15),E19,"")</f>
        <v>Slovaquie</v>
      </c>
      <c r="BW16" s="3" t="str">
        <f t="shared" ref="BW16" si="157">IF(AND(BV16&lt;&gt;"",BW12&lt;&gt;""),IF(VLOOKUP(BV16,BR13:BS16,2,FALSE)=VLOOKUP(BW12,BR13:BS16,2,FALSE),IF(AR16&gt;AU13,"Vainqueur",IF(AR16&lt;AU13,"Perdant","Egalité")),"Pas d'égalité"),"")</f>
        <v>Egalité</v>
      </c>
      <c r="BX16" s="3" t="str">
        <f t="shared" ref="BX16" si="158">IF(AND(BV16&lt;&gt;"",BX12&lt;&gt;""),IF(VLOOKUP(BV16,BR13:BS16,2,FALSE)=VLOOKUP(BX12,BR13:BS16,2,FALSE),IF(AS16&gt;AU14,"Vainqueur",IF(AS16&lt;AU14,"Perdant","Egalité")),"Pas d'égalité"),"")</f>
        <v>Egalité</v>
      </c>
      <c r="BY16" s="3" t="str">
        <f t="shared" ref="BY16" si="159">IF(AND(BV16&lt;&gt;"",BY12&lt;&gt;""),IF(VLOOKUP(BV16,BR13:BS16,2,FALSE)=VLOOKUP(BY12,BR13:BS16,2,FALSE),IF(AT16&gt;AU15,"Vainqueur",IF(AT16&lt;AU15,"Perdant","Egalité")),"Pas d'égalité"),"")</f>
        <v>Egalité</v>
      </c>
      <c r="BZ16" s="3"/>
      <c r="CA16" s="3"/>
      <c r="CB16" s="45" t="str">
        <f t="shared" si="61"/>
        <v>Slovaquie</v>
      </c>
      <c r="CC16" s="3">
        <f t="shared" si="62"/>
        <v>3</v>
      </c>
      <c r="CE16" s="45" t="str">
        <f t="shared" si="104"/>
        <v>Slovaquie</v>
      </c>
      <c r="CF16" s="3">
        <f t="shared" si="105"/>
        <v>0</v>
      </c>
      <c r="CG16" s="3">
        <f t="shared" si="133"/>
        <v>0</v>
      </c>
      <c r="CH16" s="3">
        <f t="shared" ref="CH16" si="160">IF(OR(BY16="Vainqueur",BY16="Perdant",BY16="Egalité"),AT16,"")</f>
        <v>0</v>
      </c>
      <c r="CK16" s="45" t="str">
        <f t="shared" si="66"/>
        <v>Slovaquie</v>
      </c>
      <c r="CL16" s="3">
        <f t="shared" ref="CL16" si="161">IF(CK16&lt;&gt;"",SUM(CF16:CI16)-SUM(CI13:CI16),"")</f>
        <v>0</v>
      </c>
      <c r="CN16" s="45" t="str">
        <f t="shared" si="107"/>
        <v>Slovaquie</v>
      </c>
      <c r="CO16" s="3">
        <f t="shared" si="69"/>
        <v>0</v>
      </c>
      <c r="CQ16" s="3" t="str">
        <f t="shared" ref="CQ16" si="162">E19</f>
        <v>Slovaquie</v>
      </c>
      <c r="CR16" s="45">
        <f t="shared" si="71"/>
        <v>3.000003E-2</v>
      </c>
      <c r="CS16" s="45">
        <f t="shared" ref="CS16" si="163">RANK(CR16,CR13:CR16)</f>
        <v>1</v>
      </c>
      <c r="CU16" s="3" t="str">
        <f t="shared" ref="CU16" si="164">E19</f>
        <v>Slovaquie</v>
      </c>
      <c r="CV16" s="3">
        <f t="shared" ref="CV16" si="165">SUM(AR16:AU16)-SUM(AU13:AU16)</f>
        <v>0</v>
      </c>
      <c r="CW16" s="3">
        <f t="shared" si="75"/>
        <v>0</v>
      </c>
      <c r="CY16" s="3" t="str">
        <f t="shared" ref="CY16" si="166">E19</f>
        <v>Slovaquie</v>
      </c>
      <c r="CZ16" s="45">
        <f t="shared" ref="CZ16" si="167">IF(OR(CR16=CR13,CR16=CR14,CR16=CR15),SUM(CR16,CV16/10^12,CW16/10^14),CR16)</f>
        <v>3.000003E-2</v>
      </c>
      <c r="DA16" s="45">
        <f t="shared" ref="DA16" si="168">RANK(CZ16,CZ13:CZ16)</f>
        <v>1</v>
      </c>
      <c r="DB16" s="45"/>
      <c r="DC16" s="45" t="str">
        <f t="shared" ref="DC16" si="169">E19</f>
        <v>Slovaquie</v>
      </c>
      <c r="DD16" s="45">
        <f t="shared" ref="DD16:DE16" si="170">SUM(I19,I21,I22)</f>
        <v>0</v>
      </c>
      <c r="DE16" s="45">
        <f t="shared" si="170"/>
        <v>0</v>
      </c>
      <c r="DG16" s="3" t="str">
        <f t="shared" ref="DG16" si="171">E19</f>
        <v>Slovaquie</v>
      </c>
      <c r="DH16" s="45">
        <f t="shared" ref="DH16" si="172">IF(OR(CZ16=CZ13,CZ16=CZ14,CZ16=CZ15),SUM(CZ16,(-DD16-3*DE16)/10^15),CZ16)</f>
        <v>3.000003E-2</v>
      </c>
      <c r="DI16" s="45">
        <f t="shared" ref="DI16" si="173">RANK(DH16,DH13:DH16)</f>
        <v>1</v>
      </c>
      <c r="DK16" s="377" t="str">
        <f t="shared" ref="DK16" si="174">E19</f>
        <v>Slovaquie</v>
      </c>
      <c r="DL16" s="494">
        <f t="shared" ref="DL16" si="175">COUNTIF(F17:F22,E19)*3+COUNTIF(F19,"Égalité")+COUNTIF(F21:F22,"Égalité")</f>
        <v>0</v>
      </c>
      <c r="DM16" s="377">
        <f t="shared" si="86"/>
        <v>0.03</v>
      </c>
      <c r="DN16" s="376">
        <f t="shared" si="87"/>
        <v>3.000003E-2</v>
      </c>
      <c r="DO16" s="376">
        <f t="shared" si="88"/>
        <v>3.000003E-2</v>
      </c>
      <c r="DP16" s="401">
        <f t="shared" si="89"/>
        <v>3.000003E-2</v>
      </c>
      <c r="DQ16" s="377" t="str">
        <f t="shared" ref="DQ16" si="176">E19</f>
        <v>Slovaquie</v>
      </c>
    </row>
    <row r="17" spans="1:121" ht="15.75" thickBot="1" x14ac:dyDescent="0.3">
      <c r="A17" s="618" t="s">
        <v>117</v>
      </c>
      <c r="B17" s="309" t="str">
        <f>'Matchs de Qualification'!C34</f>
        <v>Angleterre</v>
      </c>
      <c r="C17" s="152"/>
      <c r="D17" s="153"/>
      <c r="E17" s="350" t="str">
        <f>B20</f>
        <v>Russie</v>
      </c>
      <c r="F17" s="511" t="str">
        <f t="shared" si="20"/>
        <v>Non joué</v>
      </c>
      <c r="G17" s="445"/>
      <c r="H17" s="446"/>
      <c r="I17" s="427"/>
      <c r="J17" s="428"/>
      <c r="K17" s="100"/>
      <c r="L17" s="206" t="s">
        <v>115</v>
      </c>
      <c r="M17" s="370" t="s">
        <v>86</v>
      </c>
      <c r="N17" s="154" t="s">
        <v>94</v>
      </c>
      <c r="O17" s="403"/>
      <c r="P17" s="97"/>
      <c r="Q17" s="97"/>
      <c r="R17" s="97"/>
      <c r="S17" s="97"/>
      <c r="T17" s="97"/>
      <c r="U17" s="97"/>
      <c r="V17" s="608" t="str">
        <f>IF(T21&lt;&gt;T23,IF(T21&gt;T23,S21,S23),"")</f>
        <v/>
      </c>
      <c r="W17" s="610"/>
      <c r="X17" s="97"/>
      <c r="Y17" s="97"/>
      <c r="Z17" s="97"/>
      <c r="AA17" s="98"/>
      <c r="AO17" s="129"/>
      <c r="AP17" s="129"/>
      <c r="AQ17" s="45"/>
      <c r="AR17" s="45"/>
      <c r="AS17" s="45"/>
      <c r="AY17" s="3"/>
      <c r="AZ17" s="3"/>
      <c r="BA17" s="3"/>
      <c r="BB17" s="3"/>
      <c r="BC17" s="3"/>
      <c r="BD17" s="3"/>
      <c r="BF17" s="3"/>
      <c r="BG17" s="3"/>
      <c r="BS17" s="45"/>
      <c r="BT17" s="45"/>
      <c r="BX17" s="3"/>
      <c r="BY17" s="3"/>
      <c r="BZ17" s="3"/>
      <c r="CA17" s="3"/>
      <c r="CB17" s="3"/>
      <c r="CC17" s="3"/>
      <c r="CE17" s="3"/>
      <c r="CF17" s="3"/>
      <c r="CR17" s="45"/>
      <c r="CS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</row>
    <row r="18" spans="1:121" ht="15.75" thickBot="1" x14ac:dyDescent="0.3">
      <c r="A18" s="618"/>
      <c r="B18" s="308" t="str">
        <f>B17</f>
        <v>Angleterre</v>
      </c>
      <c r="C18" s="105"/>
      <c r="D18" s="106"/>
      <c r="E18" s="351" t="str">
        <f>B22</f>
        <v>Pays de Galles</v>
      </c>
      <c r="F18" s="332" t="str">
        <f t="shared" si="20"/>
        <v>Non joué</v>
      </c>
      <c r="G18" s="445"/>
      <c r="H18" s="446"/>
      <c r="I18" s="427"/>
      <c r="J18" s="428"/>
      <c r="K18" s="100"/>
      <c r="L18" s="461">
        <v>1</v>
      </c>
      <c r="M18" s="462" t="str">
        <f t="shared" ref="M18" si="177">IF(COUNT(C17:D22)&lt;&gt;0,VLOOKUP(MAX(DP13:DP16),DP13:DQ16,2,FALSE),"")</f>
        <v/>
      </c>
      <c r="N18" s="463">
        <f t="shared" ref="N18" si="178">IF(M18&lt;&gt;"",VLOOKUP(M18,DK13:DL16,2,FALSE),0)</f>
        <v>0</v>
      </c>
      <c r="O18" s="403" t="s">
        <v>172</v>
      </c>
      <c r="P18" s="612" t="str">
        <f>M18</f>
        <v/>
      </c>
      <c r="Q18" s="613"/>
      <c r="R18" s="97"/>
      <c r="S18" s="97"/>
      <c r="T18" s="97"/>
      <c r="U18" s="97"/>
      <c r="V18" s="609"/>
      <c r="W18" s="611"/>
      <c r="X18" s="97"/>
      <c r="Y18" s="97"/>
      <c r="Z18" s="97"/>
      <c r="AA18" s="98"/>
      <c r="AC18" s="598" t="s">
        <v>130</v>
      </c>
      <c r="AD18" s="599"/>
      <c r="AE18" s="599"/>
      <c r="AF18" s="599"/>
      <c r="AG18" s="599"/>
      <c r="AH18" s="599"/>
      <c r="AI18" s="599"/>
      <c r="AJ18" s="600"/>
      <c r="AL18" s="129"/>
      <c r="AO18" s="129"/>
      <c r="AP18" s="129"/>
      <c r="AQ18" s="45"/>
      <c r="AR18" s="45" t="str">
        <f t="shared" ref="AR18" si="179">AQ19</f>
        <v>Allemagne</v>
      </c>
      <c r="AS18" s="3" t="str">
        <f t="shared" ref="AS18" si="180">AQ20</f>
        <v>Ukraine</v>
      </c>
      <c r="AT18" s="3" t="str">
        <f t="shared" ref="AT18" si="181">AQ21</f>
        <v>Pologne</v>
      </c>
      <c r="AU18" s="3" t="str">
        <f t="shared" ref="AU18" si="182">AQ22</f>
        <v>Irlande du Nord</v>
      </c>
      <c r="AX18" s="45" t="str">
        <f t="shared" ref="AX18" si="183">AW19</f>
        <v>Allemagne</v>
      </c>
      <c r="AY18" s="3" t="str">
        <f t="shared" ref="AY18" si="184">AW20</f>
        <v>Ukraine</v>
      </c>
      <c r="AZ18" s="3" t="str">
        <f t="shared" ref="AZ18" si="185">AW21</f>
        <v>Pologne</v>
      </c>
      <c r="BA18" s="3" t="str">
        <f t="shared" ref="BA18" si="186">AW22</f>
        <v>Irlande du Nord</v>
      </c>
      <c r="BB18" s="3"/>
      <c r="BG18" s="45" t="str">
        <f t="shared" ref="BG18" si="187">BF19</f>
        <v>Allemagne</v>
      </c>
      <c r="BH18" s="3" t="str">
        <f t="shared" ref="BH18" si="188">BF20</f>
        <v>Ukraine</v>
      </c>
      <c r="BI18" s="3" t="str">
        <f t="shared" ref="BI18" si="189">BF21</f>
        <v>Pologne</v>
      </c>
      <c r="BJ18" s="3" t="str">
        <f t="shared" ref="BJ18" si="190">BF22</f>
        <v>Irlande du Nord</v>
      </c>
      <c r="BL18" s="45"/>
      <c r="BM18" s="45"/>
      <c r="BO18" s="45"/>
      <c r="BP18" s="45"/>
      <c r="BQ18" s="45"/>
      <c r="BR18" s="45"/>
      <c r="BS18" s="45" t="s">
        <v>188</v>
      </c>
      <c r="BT18" s="45" t="s">
        <v>115</v>
      </c>
      <c r="BU18" s="45"/>
      <c r="BW18" s="45" t="str">
        <f t="shared" ref="BW18" si="191">BV19</f>
        <v>Allemagne</v>
      </c>
      <c r="BX18" s="3" t="str">
        <f t="shared" ref="BX18" si="192">BV20</f>
        <v>Ukraine</v>
      </c>
      <c r="BY18" s="3" t="str">
        <f t="shared" ref="BY18" si="193">BV21</f>
        <v>Pologne</v>
      </c>
      <c r="BZ18" s="3" t="str">
        <f t="shared" ref="BZ18" si="194">BV22</f>
        <v>Irlande du Nord</v>
      </c>
      <c r="CA18" s="3"/>
      <c r="CF18" s="45" t="str">
        <f t="shared" ref="CF18" si="195">CE19</f>
        <v>Allemagne</v>
      </c>
      <c r="CG18" s="3" t="str">
        <f t="shared" ref="CG18" si="196">CE20</f>
        <v>Ukraine</v>
      </c>
      <c r="CH18" s="3" t="str">
        <f t="shared" ref="CH18" si="197">CE21</f>
        <v>Pologne</v>
      </c>
      <c r="CI18" s="3" t="str">
        <f t="shared" ref="CI18" si="198">CE22</f>
        <v>Irlande du Nord</v>
      </c>
      <c r="CK18" s="45"/>
      <c r="CL18" s="45"/>
      <c r="CN18" s="45"/>
      <c r="CO18" s="45"/>
      <c r="CP18" s="45"/>
      <c r="CQ18" s="45"/>
      <c r="CR18" s="45" t="s">
        <v>188</v>
      </c>
      <c r="CS18" s="45" t="s">
        <v>115</v>
      </c>
      <c r="CT18" s="45"/>
      <c r="CV18" s="45"/>
      <c r="CW18" s="45"/>
      <c r="CY18" s="45"/>
      <c r="CZ18" s="45" t="s">
        <v>188</v>
      </c>
      <c r="DA18" s="45" t="s">
        <v>115</v>
      </c>
      <c r="DB18" s="45"/>
      <c r="DG18" s="45"/>
      <c r="DH18" s="45" t="s">
        <v>188</v>
      </c>
      <c r="DI18" s="45" t="s">
        <v>115</v>
      </c>
      <c r="DK18" s="376" t="s">
        <v>86</v>
      </c>
      <c r="DL18" s="377" t="s">
        <v>94</v>
      </c>
      <c r="DM18" s="377" t="s">
        <v>205</v>
      </c>
      <c r="DN18" s="377" t="s">
        <v>206</v>
      </c>
      <c r="DO18" s="377" t="s">
        <v>200</v>
      </c>
      <c r="DP18" s="376" t="s">
        <v>116</v>
      </c>
      <c r="DQ18" s="377" t="s">
        <v>86</v>
      </c>
    </row>
    <row r="19" spans="1:121" ht="15.75" thickBot="1" x14ac:dyDescent="0.3">
      <c r="A19" s="618"/>
      <c r="B19" s="308" t="str">
        <f>B17</f>
        <v>Angleterre</v>
      </c>
      <c r="C19" s="105"/>
      <c r="D19" s="106"/>
      <c r="E19" s="351" t="str">
        <f>'Matchs de Qualification'!C20</f>
        <v>Slovaquie</v>
      </c>
      <c r="F19" s="332" t="str">
        <f t="shared" si="20"/>
        <v>Non joué</v>
      </c>
      <c r="G19" s="445"/>
      <c r="H19" s="446"/>
      <c r="I19" s="427"/>
      <c r="J19" s="428"/>
      <c r="K19" s="100"/>
      <c r="L19" s="464">
        <v>2</v>
      </c>
      <c r="M19" s="465" t="str">
        <f t="shared" ref="M19" si="199">IF(COUNT(C17:D22)&lt;&gt;0,VLOOKUP(LARGE(DP13:DP16,2),DP13:DQ16,2,FALSE),"")</f>
        <v/>
      </c>
      <c r="N19" s="466">
        <f t="shared" ref="N19" si="200">IF(M19&lt;&gt;"",VLOOKUP(M19,DK13:DL16,2,FALSE),0)</f>
        <v>0</v>
      </c>
      <c r="O19" s="403"/>
      <c r="P19" s="608"/>
      <c r="Q19" s="610"/>
      <c r="R19" s="97"/>
      <c r="S19" s="97"/>
      <c r="T19" s="97"/>
      <c r="U19" s="97"/>
      <c r="V19" s="97"/>
      <c r="W19" s="97"/>
      <c r="X19" s="97"/>
      <c r="Y19" s="97"/>
      <c r="Z19" s="97"/>
      <c r="AA19" s="98"/>
      <c r="AC19" s="405" t="s">
        <v>128</v>
      </c>
      <c r="AD19" s="406" t="s">
        <v>129</v>
      </c>
      <c r="AE19" s="407" t="s">
        <v>127</v>
      </c>
      <c r="AF19" s="407" t="s">
        <v>94</v>
      </c>
      <c r="AG19" s="407" t="str">
        <f>"+/-"</f>
        <v>+/-</v>
      </c>
      <c r="AH19" s="408" t="s">
        <v>101</v>
      </c>
      <c r="AI19" s="324" t="s">
        <v>197</v>
      </c>
      <c r="AJ19" s="489" t="s">
        <v>198</v>
      </c>
      <c r="AL19" s="129"/>
      <c r="AO19" s="129"/>
      <c r="AP19" s="129"/>
      <c r="AQ19" s="45" t="str">
        <f t="shared" ref="AQ19" si="201">B23</f>
        <v>Allemagne</v>
      </c>
      <c r="AR19" s="493"/>
      <c r="AS19" s="45">
        <f t="shared" ref="AS19" si="202">C23</f>
        <v>0</v>
      </c>
      <c r="AT19" s="45">
        <f t="shared" ref="AT19" si="203">C24</f>
        <v>0</v>
      </c>
      <c r="AU19" s="45">
        <f t="shared" ref="AU19" si="204">C25</f>
        <v>0</v>
      </c>
      <c r="AW19" s="45" t="str">
        <f>IF(OR(VLOOKUP(B23,DK19:DL22,2,FALSE)=DL20,VLOOKUP(B23,DK19:DL22,2,FALSE)=DL21,VLOOKUP(B23,DK19:DL22,2,FALSE)=DL22),B23,"")</f>
        <v>Allemagne</v>
      </c>
      <c r="AX19" s="3"/>
      <c r="AY19" s="3" t="str">
        <f>IF(AND(AW19&lt;&gt;"",AY18&lt;&gt;""),IF(VLOOKUP(AW19,DK19:DL22,2,FALSE)=VLOOKUP(AY18,DK19:DL22,2,FALSE),IF(AS19&gt;AR20,"Vainqueur",IF(AS19&lt;AR20,"Perdant","Egalité")),"Pas d'égalité"),"")</f>
        <v>Egalité</v>
      </c>
      <c r="AZ19" s="3" t="str">
        <f>IF(AND(AW19&lt;&gt;"",AZ18&lt;&gt;""),IF(VLOOKUP(AW19,DK19:DL22,2,FALSE)=VLOOKUP(AZ18,DK19:DL22,2,FALSE),IF(AT19&gt;AR21,"Vainqueur",IF(AT19&lt;AR21,"Perdant","Egalité")),"Pas d'égalité"),"")</f>
        <v>Egalité</v>
      </c>
      <c r="BA19" s="3" t="str">
        <f>IF(AND(AW19&lt;&gt;"",BA18&lt;&gt;""),IF(VLOOKUP(AW19,DK19:DL22,2,FALSE)=VLOOKUP(BA18,DK19:DL22,2,FALSE),IF(AU19&gt;AR22,"Vainqueur",IF(AU19&lt;AR22,"Perdant","Egalité")),"Pas d'égalité"),"")</f>
        <v>Egalité</v>
      </c>
      <c r="BB19" s="3"/>
      <c r="BC19" s="45" t="str">
        <f t="shared" ref="BC19:BC22" si="205">AW19</f>
        <v>Allemagne</v>
      </c>
      <c r="BD19" s="3">
        <f t="shared" ref="BD19:BD22" si="206">IF(BC19&lt;&gt;"",3*COUNTIF(AX19:BA19,"Vainqueur")+COUNTIF(AX19:BA19,"Egalité"),"")</f>
        <v>3</v>
      </c>
      <c r="BF19" s="45" t="str">
        <f t="shared" ref="BF19:BF22" si="207">AW19</f>
        <v>Allemagne</v>
      </c>
      <c r="BG19" s="3"/>
      <c r="BH19" s="3">
        <f t="shared" ref="BH19" si="208">IF(OR(AY19="Vainqueur",AY19="Perdant",AY19="Egalité"),AS19,"")</f>
        <v>0</v>
      </c>
      <c r="BI19" s="3">
        <f t="shared" ref="BI19:BI20" si="209">IF(OR(AZ19="Vainqueur",AZ19="Perdant",AZ19="Egalité"),AT19,"")</f>
        <v>0</v>
      </c>
      <c r="BJ19" s="3">
        <f t="shared" ref="BJ19:BJ21" si="210">IF(OR(BA19="Vainqueur",BA19="Perdant",BA19="Egalité"),AU19,"")</f>
        <v>0</v>
      </c>
      <c r="BL19" s="45" t="str">
        <f t="shared" ref="BL19:BL22" si="211">AW19</f>
        <v>Allemagne</v>
      </c>
      <c r="BM19" s="3">
        <f t="shared" ref="BM19" si="212">IF(BL19&lt;&gt;"",SUM(BG19:BJ19)-SUM(BG19:BG22),"")</f>
        <v>0</v>
      </c>
      <c r="BO19" s="45" t="str">
        <f t="shared" ref="BO19" si="213">BF19</f>
        <v>Allemagne</v>
      </c>
      <c r="BP19" s="3">
        <f t="shared" ref="BP19:BP22" si="214">IF(BO19&lt;&gt;"",SUM(BG19:BJ19),"")</f>
        <v>0</v>
      </c>
      <c r="BR19" s="3" t="str">
        <f t="shared" ref="BR19" si="215">B23</f>
        <v>Allemagne</v>
      </c>
      <c r="BS19" s="45">
        <f>IF(BD19&lt;&gt;"",SUM(DL19,BD19/10^2,BM19/10^4,BP19/10^6),DL19)</f>
        <v>0.03</v>
      </c>
      <c r="BT19" s="45">
        <f t="shared" ref="BT19" si="216">RANK(BS19,BS19:BS22)</f>
        <v>1</v>
      </c>
      <c r="BV19" s="45" t="str">
        <f t="shared" ref="BV19" si="217">IF(OR(VLOOKUP(B23,BR19:BS22,2,FALSE)=BS20,VLOOKUP(B23,BR19:BS22,2,FALSE)=BS21,VLOOKUP(B23,BR19:BS22,2,FALSE)=BS22),B23,"")</f>
        <v>Allemagne</v>
      </c>
      <c r="BW19" s="3"/>
      <c r="BX19" s="3" t="str">
        <f t="shared" ref="BX19" si="218">IF(AND(BV19&lt;&gt;"",BX18&lt;&gt;""),IF(VLOOKUP(BV19,BR19:BS22,2,FALSE)=VLOOKUP(BX18,BR19:BS22,2,FALSE),IF(AS19&gt;AR20,"Vainqueur",IF(AS19&lt;AR20,"Perdant","Egalité")),"Pas d'égalité"),"")</f>
        <v>Egalité</v>
      </c>
      <c r="BY19" s="3" t="str">
        <f t="shared" ref="BY19" si="219">IF(AND(BV19&lt;&gt;"",BY18&lt;&gt;""),IF(VLOOKUP(BV19,BR19:BS22,2,FALSE)=VLOOKUP(BY18,BR19:BS22,2,FALSE),IF(AT19&gt;AR21,"Vainqueur",IF(AT19&lt;AR21,"Perdant","Egalité")),"Pas d'égalité"),"")</f>
        <v>Egalité</v>
      </c>
      <c r="BZ19" s="3" t="str">
        <f t="shared" ref="BZ19" si="220">IF(AND(BV19&lt;&gt;"",BZ18&lt;&gt;""),IF(VLOOKUP(BV19,BR19:BS22,2,FALSE)=VLOOKUP(BZ18,BR19:BS22,2,FALSE),IF(AU19&gt;AR22,"Vainqueur",IF(AU19&lt;AR22,"Perdant","Egalité")),"Pas d'égalité"),"")</f>
        <v>Egalité</v>
      </c>
      <c r="CA19" s="3"/>
      <c r="CB19" s="45" t="str">
        <f t="shared" ref="CB19:CB22" si="221">BV19</f>
        <v>Allemagne</v>
      </c>
      <c r="CC19" s="3">
        <f t="shared" ref="CC19:CC22" si="222">IF(CB19&lt;&gt;"",3*COUNTIF(BW19:BZ19,"Vainqueur")+COUNTIF(BW19:BZ19,"Egalité"),"")</f>
        <v>3</v>
      </c>
      <c r="CE19" s="45" t="str">
        <f t="shared" ref="CE19:CE22" si="223">BV19</f>
        <v>Allemagne</v>
      </c>
      <c r="CF19" s="3"/>
      <c r="CG19" s="3">
        <f t="shared" ref="CG19" si="224">IF(OR(BX19="Vainqueur",BX19="Perdant",BX19="Egalité"),AS19,"")</f>
        <v>0</v>
      </c>
      <c r="CH19" s="3">
        <f t="shared" ref="CH19:CH20" si="225">IF(OR(BY19="Vainqueur",BY19="Perdant",BY19="Egalité"),AT19,"")</f>
        <v>0</v>
      </c>
      <c r="CI19" s="3">
        <f t="shared" ref="CI19:CI21" si="226">IF(OR(BZ19="Vainqueur",BZ19="Perdant",BZ19="Egalité"),AU19,"")</f>
        <v>0</v>
      </c>
      <c r="CK19" s="45" t="str">
        <f t="shared" ref="CK19:CK22" si="227">BV19</f>
        <v>Allemagne</v>
      </c>
      <c r="CL19" s="3">
        <f t="shared" ref="CL19" si="228">IF(CK19&lt;&gt;"",SUM(CF19:CI19)-SUM(CF19:CF22),"")</f>
        <v>0</v>
      </c>
      <c r="CN19" s="45" t="str">
        <f t="shared" ref="CN19" si="229">CE19</f>
        <v>Allemagne</v>
      </c>
      <c r="CO19" s="3">
        <f t="shared" ref="CO19:CO22" si="230">IF(CN19&lt;&gt;"",SUM(CF19:CI19),"")</f>
        <v>0</v>
      </c>
      <c r="CQ19" s="3" t="str">
        <f t="shared" ref="CQ19" si="231">B23</f>
        <v>Allemagne</v>
      </c>
      <c r="CR19" s="45">
        <f t="shared" ref="CR19:CR22" si="232">IF(CC19&lt;&gt;"",SUM(BS19,CC19/10^8,CL19/10^9,CO19/10^10),BS19)</f>
        <v>3.000003E-2</v>
      </c>
      <c r="CS19" s="45">
        <f t="shared" ref="CS19" si="233">RANK(CR19,CR19:CR22)</f>
        <v>1</v>
      </c>
      <c r="CU19" s="3" t="str">
        <f t="shared" ref="CU19" si="234">B23</f>
        <v>Allemagne</v>
      </c>
      <c r="CV19" s="3">
        <f t="shared" ref="CV19" si="235">SUM(AR19:AU19)-SUM(AR19:AR22)</f>
        <v>0</v>
      </c>
      <c r="CW19" s="3">
        <f t="shared" ref="CW19:CW22" si="236">SUM(AR19:AU19)</f>
        <v>0</v>
      </c>
      <c r="CY19" s="3" t="str">
        <f t="shared" ref="CY19" si="237">B23</f>
        <v>Allemagne</v>
      </c>
      <c r="CZ19" s="45">
        <f t="shared" ref="CZ19" si="238">IF(OR(CR19=CR20,CR19=CR21,CR19=CR22),SUM(CR19,CV19/10^12,CW19/10^14),CR19)</f>
        <v>3.000003E-2</v>
      </c>
      <c r="DA19" s="45">
        <f t="shared" ref="DA19" si="239">RANK(CZ19,CZ19:CZ22)</f>
        <v>1</v>
      </c>
      <c r="DB19" s="45"/>
      <c r="DC19" s="45" t="str">
        <f t="shared" ref="DC19" si="240">B23</f>
        <v>Allemagne</v>
      </c>
      <c r="DD19" s="45">
        <f>SUM(G23,G24,G25)</f>
        <v>0</v>
      </c>
      <c r="DE19" s="45">
        <f t="shared" ref="DE19" si="241">SUM(H23,H24,H25)</f>
        <v>0</v>
      </c>
      <c r="DG19" s="3" t="str">
        <f t="shared" ref="DG19" si="242">B23</f>
        <v>Allemagne</v>
      </c>
      <c r="DH19" s="45">
        <f t="shared" ref="DH19" si="243">IF(OR(CZ19=CZ20,CZ19=CZ21,CZ19=CZ22),SUM(CZ19,(-DD19-3*DE19)/10^15),CZ19)</f>
        <v>3.000003E-2</v>
      </c>
      <c r="DI19" s="45">
        <f t="shared" ref="DI19" si="244">RANK(DH19,DH19:DH22)</f>
        <v>1</v>
      </c>
      <c r="DK19" s="376" t="str">
        <f t="shared" ref="DK19" si="245">B23</f>
        <v>Allemagne</v>
      </c>
      <c r="DL19" s="377">
        <f t="shared" ref="DL19" si="246">COUNTIF(F23:F28,B23)*3+COUNTIF(F23:F25,"Égalité")</f>
        <v>0</v>
      </c>
      <c r="DM19" s="377">
        <f t="shared" ref="DM19:DM22" si="247">BS19</f>
        <v>0.03</v>
      </c>
      <c r="DN19" s="376">
        <f t="shared" ref="DN19:DN22" si="248">CR19</f>
        <v>3.000003E-2</v>
      </c>
      <c r="DO19" s="376">
        <f t="shared" ref="DO19:DO22" si="249">CZ19</f>
        <v>3.000003E-2</v>
      </c>
      <c r="DP19" s="401">
        <f t="shared" ref="DP19:DP22" si="250">DH19</f>
        <v>3.000003E-2</v>
      </c>
      <c r="DQ19" s="377" t="str">
        <f t="shared" ref="DQ19" si="251">B23</f>
        <v>Allemagne</v>
      </c>
    </row>
    <row r="20" spans="1:121" ht="15.75" thickBot="1" x14ac:dyDescent="0.3">
      <c r="A20" s="618"/>
      <c r="B20" s="308" t="str">
        <f>'Matchs de Qualification'!L14</f>
        <v>Russie</v>
      </c>
      <c r="C20" s="105"/>
      <c r="D20" s="106"/>
      <c r="E20" s="351" t="str">
        <f>B22</f>
        <v>Pays de Galles</v>
      </c>
      <c r="F20" s="332" t="str">
        <f t="shared" si="20"/>
        <v>Non joué</v>
      </c>
      <c r="G20" s="445"/>
      <c r="H20" s="446"/>
      <c r="I20" s="427"/>
      <c r="J20" s="428"/>
      <c r="K20" s="100"/>
      <c r="L20" s="107">
        <v>3</v>
      </c>
      <c r="M20" s="332" t="str">
        <f t="shared" ref="M20" si="252">IF(COUNT(C17:D22)&lt;&gt;0,VLOOKUP(LARGE(DP13:DP16,3),DP13:DQ16,2,FALSE),"")</f>
        <v/>
      </c>
      <c r="N20" s="383">
        <f t="shared" ref="N20" si="253">IF(M20&lt;&gt;"",VLOOKUP(M20,DK13:DL16,2,FALSE),0)</f>
        <v>0</v>
      </c>
      <c r="O20" s="403"/>
      <c r="P20" s="608" t="str">
        <f>AU64</f>
        <v/>
      </c>
      <c r="Q20" s="610"/>
      <c r="R20" s="97"/>
      <c r="S20" s="97"/>
      <c r="T20" s="97"/>
      <c r="U20" s="97"/>
      <c r="V20" s="97"/>
      <c r="W20" s="97"/>
      <c r="X20" s="97"/>
      <c r="Y20" s="97"/>
      <c r="Z20" s="97"/>
      <c r="AA20" s="98"/>
      <c r="AC20" s="224">
        <v>1</v>
      </c>
      <c r="AD20" s="225" t="str">
        <f>IF(AE20&lt;&gt;"",VLOOKUP(AE20,$AM$7:$AT$12,2,FALSE),"")</f>
        <v/>
      </c>
      <c r="AE20" s="226" t="str">
        <f>VLOOKUP(MAX(AL7:AL12),AL7:AM12,2,FALSE)</f>
        <v/>
      </c>
      <c r="AF20" s="227">
        <f>VLOOKUP($AE20,$AD$7:$AI$12,2,FALSE)</f>
        <v>0</v>
      </c>
      <c r="AG20" s="227">
        <f>VLOOKUP($AE20,$AD$7:$AI$12,3,FALSE)</f>
        <v>0</v>
      </c>
      <c r="AH20" s="228">
        <f>VLOOKUP($AE20,$AD$7:$AI$12,4,FALSE)</f>
        <v>0</v>
      </c>
      <c r="AI20" s="415">
        <f>VLOOKUP($AE20,$AD$7:$AI$12,5,FALSE)</f>
        <v>0</v>
      </c>
      <c r="AJ20" s="228">
        <f>VLOOKUP($AE20,$AD$7:$AI$12,6,FALSE)</f>
        <v>0</v>
      </c>
      <c r="AL20" s="129"/>
      <c r="AO20" s="129"/>
      <c r="AP20" s="129"/>
      <c r="AQ20" s="45" t="str">
        <f t="shared" ref="AQ20" si="254">B26</f>
        <v>Ukraine</v>
      </c>
      <c r="AR20" s="45">
        <f t="shared" ref="AR20:AR22" si="255">D23</f>
        <v>0</v>
      </c>
      <c r="AS20" s="493"/>
      <c r="AT20" s="45">
        <f t="shared" ref="AT20" si="256">C26</f>
        <v>0</v>
      </c>
      <c r="AU20" s="45">
        <f t="shared" ref="AU20:AU21" si="257">C27</f>
        <v>0</v>
      </c>
      <c r="AW20" s="45" t="str">
        <f>IF(OR(VLOOKUP(B26,DK19:DL22,2,FALSE)=DL19,VLOOKUP(B26,DK19:DL22,2,FALSE)=DL21,VLOOKUP(B26,DK19:DL22,2,FALSE)=DL22),B26,"")</f>
        <v>Ukraine</v>
      </c>
      <c r="AX20" s="3" t="str">
        <f>IF(AND(AW20&lt;&gt;"",AX18&lt;&gt;""),IF(VLOOKUP(AW20,DK19:DL22,2,FALSE)=VLOOKUP(AX18,DK19:DL22,2,FALSE),IF(AR20&gt;AS19,"Vainqueur",IF(AR20&lt;AS19,"Perdant","Egalité")),"Pas d'égalité"),"")</f>
        <v>Egalité</v>
      </c>
      <c r="AY20" s="3"/>
      <c r="AZ20" s="3" t="str">
        <f>IF(AND(AW20&lt;&gt;"",AZ18&lt;&gt;""),IF(VLOOKUP(AW20,DK19:DL22,2,FALSE)=VLOOKUP(AZ18,DK19:DL22,2,FALSE),IF(AT20&gt;AS21,"Vainqueur",IF(AT20&lt;AS21,"Perdant","Egalité")),"Pas d'égalité"),"")</f>
        <v>Egalité</v>
      </c>
      <c r="BA20" s="3" t="str">
        <f>IF(AND(AW20&lt;&gt;"",BA18&lt;&gt;""),IF(VLOOKUP(AW20,DK19:DL22,2,FALSE)=VLOOKUP(BA18,DK19:DL22,2,FALSE),IF(AU20&gt;AS22,"Vainqueur",IF(AU20&lt;AS22,"Perdant","Egalité")),"Pas d'égalité"),"")</f>
        <v>Egalité</v>
      </c>
      <c r="BB20" s="3"/>
      <c r="BC20" s="45" t="str">
        <f t="shared" si="205"/>
        <v>Ukraine</v>
      </c>
      <c r="BD20" s="3">
        <f t="shared" si="206"/>
        <v>3</v>
      </c>
      <c r="BF20" s="45" t="str">
        <f t="shared" si="207"/>
        <v>Ukraine</v>
      </c>
      <c r="BG20" s="3">
        <f t="shared" ref="BG20:BG22" si="258">IF(OR(AX20="Vainqueur",AX20="Perdant",AX20="Egalité"),AR20,"")</f>
        <v>0</v>
      </c>
      <c r="BI20" s="3">
        <f t="shared" si="209"/>
        <v>0</v>
      </c>
      <c r="BJ20" s="3">
        <f t="shared" si="210"/>
        <v>0</v>
      </c>
      <c r="BL20" s="45" t="str">
        <f t="shared" si="211"/>
        <v>Ukraine</v>
      </c>
      <c r="BM20" s="3">
        <f t="shared" ref="BM20" si="259">IF(BL20&lt;&gt;"",SUM(BG20:BJ20)-SUM(BH19:BH22),"")</f>
        <v>0</v>
      </c>
      <c r="BO20" s="45" t="str">
        <f t="shared" ref="BO20:BO22" si="260">AW20</f>
        <v>Ukraine</v>
      </c>
      <c r="BP20" s="3">
        <f t="shared" si="214"/>
        <v>0</v>
      </c>
      <c r="BR20" s="3" t="str">
        <f t="shared" ref="BR20" si="261">B26</f>
        <v>Ukraine</v>
      </c>
      <c r="BS20" s="45">
        <f>IF(BD20&lt;&gt;"",SUM(DL20,BD20/10^2,BM20/10^4,BP20/10^6),DL20)</f>
        <v>0.03</v>
      </c>
      <c r="BT20" s="45">
        <f t="shared" ref="BT20" si="262">RANK(BS20,BS19:BS22)</f>
        <v>1</v>
      </c>
      <c r="BV20" s="45" t="str">
        <f t="shared" ref="BV20" si="263">IF(OR(VLOOKUP(B26,BR19:BS22,2,FALSE)=BS19,VLOOKUP(B26,BR19:BS22,2,FALSE)=BS21,VLOOKUP(B26,BR19:BS22,2,FALSE)=BS22),B26,"")</f>
        <v>Ukraine</v>
      </c>
      <c r="BW20" s="3" t="str">
        <f t="shared" ref="BW20" si="264">IF(AND(BV20&lt;&gt;"",BW18&lt;&gt;""),IF(VLOOKUP(BV20,BR19:BS22,2,FALSE)=VLOOKUP(BW18,BR19:BS22,2,FALSE),IF(AR20&gt;AS19,"Vainqueur",IF(AR20&lt;AS19,"Perdant","Egalité")),"Pas d'égalité"),"")</f>
        <v>Egalité</v>
      </c>
      <c r="BX20" s="3"/>
      <c r="BY20" s="3" t="str">
        <f t="shared" ref="BY20" si="265">IF(AND(BV20&lt;&gt;"",BY18&lt;&gt;""),IF(VLOOKUP(BV20,BR19:BS22,2,FALSE)=VLOOKUP(BY18,BR19:BS22,2,FALSE),IF(AT20&gt;AS21,"Vainqueur",IF(AT20&lt;AS21,"Perdant","Egalité")),"Pas d'égalité"),"")</f>
        <v>Egalité</v>
      </c>
      <c r="BZ20" s="3" t="str">
        <f t="shared" ref="BZ20" si="266">IF(AND(BV20&lt;&gt;"",BZ18&lt;&gt;""),IF(VLOOKUP(BV20,BR19:BS22,2,FALSE)=VLOOKUP(BZ18,BR19:BS22,2,FALSE),IF(AU20&gt;AS22,"Vainqueur",IF(AU20&lt;AS22,"Perdant","Egalité")),"Pas d'égalité"),"")</f>
        <v>Egalité</v>
      </c>
      <c r="CA20" s="3"/>
      <c r="CB20" s="45" t="str">
        <f t="shared" si="221"/>
        <v>Ukraine</v>
      </c>
      <c r="CC20" s="3">
        <f t="shared" si="222"/>
        <v>3</v>
      </c>
      <c r="CE20" s="45" t="str">
        <f t="shared" si="223"/>
        <v>Ukraine</v>
      </c>
      <c r="CF20" s="3">
        <f t="shared" ref="CF20:CF22" si="267">IF(OR(BW20="Vainqueur",BW20="Perdant",BW20="Egalité"),AR20,"")</f>
        <v>0</v>
      </c>
      <c r="CH20" s="3">
        <f t="shared" si="225"/>
        <v>0</v>
      </c>
      <c r="CI20" s="3">
        <f t="shared" si="226"/>
        <v>0</v>
      </c>
      <c r="CK20" s="45" t="str">
        <f t="shared" si="227"/>
        <v>Ukraine</v>
      </c>
      <c r="CL20" s="3">
        <f t="shared" ref="CL20" si="268">IF(CK20&lt;&gt;"",SUM(CF20:CI20)-SUM(CG19:CG22),"")</f>
        <v>0</v>
      </c>
      <c r="CN20" s="45" t="str">
        <f t="shared" ref="CN20:CN22" si="269">BV20</f>
        <v>Ukraine</v>
      </c>
      <c r="CO20" s="3">
        <f t="shared" si="230"/>
        <v>0</v>
      </c>
      <c r="CQ20" s="3" t="str">
        <f t="shared" ref="CQ20" si="270">B26</f>
        <v>Ukraine</v>
      </c>
      <c r="CR20" s="45">
        <f t="shared" si="232"/>
        <v>3.000003E-2</v>
      </c>
      <c r="CS20" s="45">
        <f t="shared" ref="CS20" si="271">RANK(CR20,CR19:CR22)</f>
        <v>1</v>
      </c>
      <c r="CU20" s="3" t="str">
        <f t="shared" ref="CU20" si="272">B26</f>
        <v>Ukraine</v>
      </c>
      <c r="CV20" s="3">
        <f t="shared" ref="CV20" si="273">SUM(AR20:AU20)-SUM(AS19:AS22)</f>
        <v>0</v>
      </c>
      <c r="CW20" s="3">
        <f t="shared" si="236"/>
        <v>0</v>
      </c>
      <c r="CY20" s="3" t="str">
        <f t="shared" ref="CY20" si="274">B26</f>
        <v>Ukraine</v>
      </c>
      <c r="CZ20" s="45">
        <f t="shared" ref="CZ20" si="275">IF(OR(CR20=CR19,CR20=CR21,CR20=CR22),SUM(CR20,CV20/10^12,CW20/10^14),CR20)</f>
        <v>3.000003E-2</v>
      </c>
      <c r="DA20" s="45">
        <f t="shared" ref="DA20" si="276">RANK(CZ20,CZ19:CZ22)</f>
        <v>1</v>
      </c>
      <c r="DB20" s="45"/>
      <c r="DC20" s="45" t="str">
        <f t="shared" ref="DC20" si="277">B26</f>
        <v>Ukraine</v>
      </c>
      <c r="DD20" s="45">
        <f t="shared" ref="DD20:DE20" si="278">SUM(G26,G27,I23)</f>
        <v>0</v>
      </c>
      <c r="DE20" s="45">
        <f t="shared" si="278"/>
        <v>0</v>
      </c>
      <c r="DG20" s="3" t="str">
        <f t="shared" ref="DG20" si="279">B26</f>
        <v>Ukraine</v>
      </c>
      <c r="DH20" s="45">
        <f t="shared" ref="DH20" si="280">IF(OR(CZ20=CZ19,CZ20=CZ21,CZ20=CZ22),SUM(CZ20,(-DD20-3*DE20)/10^15),CZ20)</f>
        <v>3.000003E-2</v>
      </c>
      <c r="DI20" s="45">
        <f t="shared" ref="DI20" si="281">RANK(DH20,DH19:DH22)</f>
        <v>1</v>
      </c>
      <c r="DK20" s="376" t="str">
        <f t="shared" ref="DK20" si="282">B26</f>
        <v>Ukraine</v>
      </c>
      <c r="DL20" s="377">
        <f t="shared" ref="DL20" si="283">COUNTIF(F23:F28,B26)*3+COUNTIF(F23,"Égalité")+COUNTIF(F26:F27,"Égalité")</f>
        <v>0</v>
      </c>
      <c r="DM20" s="377">
        <f t="shared" si="247"/>
        <v>0.03</v>
      </c>
      <c r="DN20" s="376">
        <f t="shared" si="248"/>
        <v>3.000003E-2</v>
      </c>
      <c r="DO20" s="376">
        <f t="shared" si="249"/>
        <v>3.000003E-2</v>
      </c>
      <c r="DP20" s="401">
        <f t="shared" si="250"/>
        <v>3.000003E-2</v>
      </c>
      <c r="DQ20" s="377" t="str">
        <f t="shared" ref="DQ20" si="284">B26</f>
        <v>Ukraine</v>
      </c>
    </row>
    <row r="21" spans="1:121" ht="15.75" thickBot="1" x14ac:dyDescent="0.3">
      <c r="A21" s="618"/>
      <c r="B21" s="308" t="str">
        <f>B20</f>
        <v>Russie</v>
      </c>
      <c r="C21" s="105"/>
      <c r="D21" s="106"/>
      <c r="E21" s="351" t="str">
        <f>E19</f>
        <v>Slovaquie</v>
      </c>
      <c r="F21" s="332" t="str">
        <f t="shared" si="20"/>
        <v>Non joué</v>
      </c>
      <c r="G21" s="445"/>
      <c r="H21" s="446"/>
      <c r="I21" s="427"/>
      <c r="J21" s="428"/>
      <c r="K21" s="100"/>
      <c r="L21" s="108">
        <v>4</v>
      </c>
      <c r="M21" s="333" t="str">
        <f t="shared" ref="M21" si="285">IF(COUNT(C17:D22)&lt;&gt;0,VLOOKUP(LARGE(DP13:DP16,4),DP13:DQ16,2,FALSE),"")</f>
        <v/>
      </c>
      <c r="N21" s="384">
        <f t="shared" ref="N21" si="286">IF(M21&lt;&gt;"",VLOOKUP(M21,DK13:DL16,2,FALSE),0)</f>
        <v>0</v>
      </c>
      <c r="O21" s="403" t="s">
        <v>173</v>
      </c>
      <c r="P21" s="609"/>
      <c r="Q21" s="611"/>
      <c r="R21" s="97"/>
      <c r="S21" s="612" t="str">
        <f>IF(Q18&lt;&gt;Q20,IF(Q18&gt;Q20,P18,P20),"")</f>
        <v/>
      </c>
      <c r="T21" s="613"/>
      <c r="U21" s="97"/>
      <c r="V21" s="97"/>
      <c r="W21" s="97"/>
      <c r="X21" s="97"/>
      <c r="Y21" s="97"/>
      <c r="Z21" s="97"/>
      <c r="AA21" s="98"/>
      <c r="AC21" s="229">
        <v>2</v>
      </c>
      <c r="AD21" s="326" t="str">
        <f t="shared" ref="AD21:AD25" si="287">IF(AE21&lt;&gt;"",VLOOKUP(AE21,$AM$7:$AT$12,2,FALSE),"")</f>
        <v/>
      </c>
      <c r="AE21" s="230" t="str">
        <f>VLOOKUP(LARGE(AL7:AL12,2),AL7:AM12,2,FALSE)</f>
        <v/>
      </c>
      <c r="AF21" s="231">
        <f t="shared" ref="AF21:AF25" si="288">VLOOKUP($AE21,$AD$7:$AI$12,2,FALSE)</f>
        <v>0</v>
      </c>
      <c r="AG21" s="231">
        <f t="shared" ref="AG21:AG25" si="289">VLOOKUP($AE21,$AD$7:$AI$12,3,FALSE)</f>
        <v>0</v>
      </c>
      <c r="AH21" s="232">
        <f t="shared" ref="AH21:AH25" si="290">VLOOKUP($AE21,$AD$7:$AI$12,4,FALSE)</f>
        <v>0</v>
      </c>
      <c r="AI21" s="416">
        <f t="shared" ref="AI21" si="291">VLOOKUP($AE21,$AD$7:$AI$12,5,FALSE)</f>
        <v>0</v>
      </c>
      <c r="AJ21" s="409">
        <f t="shared" ref="AJ21:AJ25" si="292">VLOOKUP($AE21,$AD$7:$AI$12,6,FALSE)</f>
        <v>0</v>
      </c>
      <c r="AL21" s="129"/>
      <c r="AO21" s="129"/>
      <c r="AP21" s="129"/>
      <c r="AQ21" s="45" t="str">
        <f t="shared" ref="AQ21" si="293">B28</f>
        <v>Pologne</v>
      </c>
      <c r="AR21" s="45">
        <f t="shared" si="255"/>
        <v>0</v>
      </c>
      <c r="AS21" s="45">
        <f t="shared" ref="AS21:AS22" si="294">D26</f>
        <v>0</v>
      </c>
      <c r="AT21" s="493"/>
      <c r="AU21" s="45">
        <f t="shared" si="257"/>
        <v>0</v>
      </c>
      <c r="AW21" s="45" t="str">
        <f>IF(OR(VLOOKUP(B28,DK19:DL22,2,FALSE)=DL19,VLOOKUP(B28,DK19:DL22,2,FALSE)=DL20,VLOOKUP(B28,DK19:DL22,2,FALSE)=DL22),B28,"")</f>
        <v>Pologne</v>
      </c>
      <c r="AX21" s="3" t="str">
        <f>IF(AND(AW21&lt;&gt;"",AX18&lt;&gt;""),IF(VLOOKUP(AW21,DK19:DL22,2,FALSE)=VLOOKUP(AX18,DK19:DL22,2,FALSE),IF(AR21&gt;AT19,"Vainqueur",IF(AR21&lt;AT19,"Perdant","Egalité")),"Pas d'égalité"),"")</f>
        <v>Egalité</v>
      </c>
      <c r="AY21" s="3" t="str">
        <f>IF(AND(AW21&lt;&gt;"",AY18&lt;&gt;""),IF(VLOOKUP(AW21,DK19:DL22,2,FALSE)=VLOOKUP(AY18,DK19:DL22,2,FALSE),IF(AS21&gt;AT20,"Vainqueur",IF(AS21&lt;AT20,"Perdant","Egalité")),"Pas d'égalité"),"")</f>
        <v>Egalité</v>
      </c>
      <c r="AZ21" s="3"/>
      <c r="BA21" s="3" t="str">
        <f>IF(AND(AW21&lt;&gt;"",BA18&lt;&gt;""),IF(VLOOKUP(AW21,DK19:DL22,2,FALSE)=VLOOKUP(BA18,DK19:DL22,2,FALSE),IF(AU21&gt;AT22,"Vainqueur",IF(AU21&lt;AT22,"Perdant","Egalité")),"Pas d'égalité"),"")</f>
        <v>Egalité</v>
      </c>
      <c r="BB21" s="3"/>
      <c r="BC21" s="45" t="str">
        <f t="shared" si="205"/>
        <v>Pologne</v>
      </c>
      <c r="BD21" s="3">
        <f t="shared" si="206"/>
        <v>3</v>
      </c>
      <c r="BF21" s="45" t="str">
        <f t="shared" si="207"/>
        <v>Pologne</v>
      </c>
      <c r="BG21" s="3">
        <f t="shared" si="258"/>
        <v>0</v>
      </c>
      <c r="BH21" s="3">
        <f t="shared" ref="BH21:BH22" si="295">IF(OR(AY21="Vainqueur",AY21="Perdant",AY21="Egalité"),AS21,"")</f>
        <v>0</v>
      </c>
      <c r="BJ21" s="3">
        <f t="shared" si="210"/>
        <v>0</v>
      </c>
      <c r="BL21" s="45" t="str">
        <f t="shared" si="211"/>
        <v>Pologne</v>
      </c>
      <c r="BM21" s="3">
        <f t="shared" ref="BM21" si="296">IF(BL21&lt;&gt;"",SUM(BG21:BJ21)-SUM(BI19:BI22),"")</f>
        <v>0</v>
      </c>
      <c r="BO21" s="45" t="str">
        <f t="shared" si="260"/>
        <v>Pologne</v>
      </c>
      <c r="BP21" s="3">
        <f t="shared" si="214"/>
        <v>0</v>
      </c>
      <c r="BR21" s="3" t="str">
        <f t="shared" ref="BR21" si="297">B28</f>
        <v>Pologne</v>
      </c>
      <c r="BS21" s="45">
        <f>IF(BD21&lt;&gt;"",SUM(DL21,BD21/10^2,BM21/10^4,BP21/10^6),DL21)</f>
        <v>0.03</v>
      </c>
      <c r="BT21" s="45">
        <f t="shared" ref="BT21" si="298">RANK(BS21,BS19:BS22)</f>
        <v>1</v>
      </c>
      <c r="BV21" s="45" t="str">
        <f t="shared" ref="BV21" si="299">IF(OR(VLOOKUP(B28,BR19:BS22,2,FALSE)=BS19,VLOOKUP(B28,BR19:BS22,2,FALSE)=BS20,VLOOKUP(B28,BR19:BS22,2,FALSE)=BS22),B28,"")</f>
        <v>Pologne</v>
      </c>
      <c r="BW21" s="3" t="str">
        <f t="shared" ref="BW21" si="300">IF(AND(BV21&lt;&gt;"",BW18&lt;&gt;""),IF(VLOOKUP(BV21,BR19:BS22,2,FALSE)=VLOOKUP(BW18,BR19:BS22,2,FALSE),IF(AR21&gt;AT19,"Vainqueur",IF(AR21&lt;AT19,"Perdant","Egalité")),"Pas d'égalité"),"")</f>
        <v>Egalité</v>
      </c>
      <c r="BX21" s="3" t="str">
        <f t="shared" ref="BX21" si="301">IF(AND(BV21&lt;&gt;"",BX18&lt;&gt;""),IF(VLOOKUP(BV21,BR19:BS22,2,FALSE)=VLOOKUP(BX18,BR19:BS22,2,FALSE),IF(AS21&gt;AT20,"Vainqueur",IF(AS21&lt;AT20,"Perdant","Egalité")),"Pas d'égalité"),"")</f>
        <v>Egalité</v>
      </c>
      <c r="BY21" s="3"/>
      <c r="BZ21" s="3" t="str">
        <f t="shared" ref="BZ21" si="302">IF(AND(BV21&lt;&gt;"",BZ18&lt;&gt;""),IF(VLOOKUP(BV21,BR19:BS22,2,FALSE)=VLOOKUP(BZ18,BR19:BS22,2,FALSE),IF(AU21&gt;AT22,"Vainqueur",IF(AU21&lt;AT22,"Perdant","Egalité")),"Pas d'égalité"),"")</f>
        <v>Egalité</v>
      </c>
      <c r="CA21" s="3"/>
      <c r="CB21" s="45" t="str">
        <f t="shared" si="221"/>
        <v>Pologne</v>
      </c>
      <c r="CC21" s="3">
        <f t="shared" si="222"/>
        <v>3</v>
      </c>
      <c r="CE21" s="45" t="str">
        <f t="shared" si="223"/>
        <v>Pologne</v>
      </c>
      <c r="CF21" s="3">
        <f t="shared" si="267"/>
        <v>0</v>
      </c>
      <c r="CG21" s="3">
        <f t="shared" ref="CG21:CG22" si="303">IF(OR(BX21="Vainqueur",BX21="Perdant",BX21="Egalité"),AS21,"")</f>
        <v>0</v>
      </c>
      <c r="CI21" s="3">
        <f t="shared" si="226"/>
        <v>0</v>
      </c>
      <c r="CK21" s="45" t="str">
        <f t="shared" si="227"/>
        <v>Pologne</v>
      </c>
      <c r="CL21" s="3">
        <f t="shared" ref="CL21" si="304">IF(CK21&lt;&gt;"",SUM(CF21:CI21)-SUM(CH19:CH22),"")</f>
        <v>0</v>
      </c>
      <c r="CN21" s="45" t="str">
        <f t="shared" si="269"/>
        <v>Pologne</v>
      </c>
      <c r="CO21" s="3">
        <f t="shared" si="230"/>
        <v>0</v>
      </c>
      <c r="CQ21" s="3" t="str">
        <f t="shared" ref="CQ21" si="305">B28</f>
        <v>Pologne</v>
      </c>
      <c r="CR21" s="45">
        <f t="shared" si="232"/>
        <v>3.000003E-2</v>
      </c>
      <c r="CS21" s="45">
        <f t="shared" ref="CS21" si="306">RANK(CR21,CR19:CR22)</f>
        <v>1</v>
      </c>
      <c r="CU21" s="3" t="str">
        <f t="shared" ref="CU21" si="307">B28</f>
        <v>Pologne</v>
      </c>
      <c r="CV21" s="3">
        <f t="shared" ref="CV21" si="308">SUM(AR21:AU21)-SUM(AT19:AT22)</f>
        <v>0</v>
      </c>
      <c r="CW21" s="3">
        <f t="shared" si="236"/>
        <v>0</v>
      </c>
      <c r="CY21" s="3" t="str">
        <f t="shared" ref="CY21" si="309">B28</f>
        <v>Pologne</v>
      </c>
      <c r="CZ21" s="45">
        <f t="shared" ref="CZ21" si="310">IF(OR(CR21=CR19,CR21=CR20,CR21=CR22),SUM(CR21,CV21/10^12,CW21/10^14),CR21)</f>
        <v>3.000003E-2</v>
      </c>
      <c r="DA21" s="45">
        <f t="shared" ref="DA21" si="311">RANK(CZ21,CZ19:CZ22)</f>
        <v>1</v>
      </c>
      <c r="DB21" s="45"/>
      <c r="DC21" s="45" t="str">
        <f t="shared" ref="DC21" si="312">B28</f>
        <v>Pologne</v>
      </c>
      <c r="DD21" s="45">
        <f t="shared" ref="DD21:DE21" si="313">SUM(G28,I24,I26)</f>
        <v>0</v>
      </c>
      <c r="DE21" s="45">
        <f t="shared" si="313"/>
        <v>0</v>
      </c>
      <c r="DG21" s="3" t="str">
        <f t="shared" ref="DG21" si="314">B28</f>
        <v>Pologne</v>
      </c>
      <c r="DH21" s="45">
        <f t="shared" ref="DH21" si="315">IF(OR(CZ21=CZ19,CZ21=CZ20,CZ21=CZ22),SUM(CZ21,(-DD21-3*DE21)/10^15),CZ21)</f>
        <v>3.000003E-2</v>
      </c>
      <c r="DI21" s="45">
        <f t="shared" ref="DI21" si="316">RANK(DH21,DH19:DH22)</f>
        <v>1</v>
      </c>
      <c r="DK21" s="376" t="str">
        <f t="shared" ref="DK21" si="317">B28</f>
        <v>Pologne</v>
      </c>
      <c r="DL21" s="377">
        <f t="shared" ref="DL21" si="318">COUNTIF(F23:F28,B28)*3+COUNTIF(F24,"Égalité")+COUNTIF(F26,"Égalité")+COUNTIF(F28,"Égalité")</f>
        <v>0</v>
      </c>
      <c r="DM21" s="377">
        <f t="shared" si="247"/>
        <v>0.03</v>
      </c>
      <c r="DN21" s="376">
        <f t="shared" si="248"/>
        <v>3.000003E-2</v>
      </c>
      <c r="DO21" s="376">
        <f t="shared" si="249"/>
        <v>3.000003E-2</v>
      </c>
      <c r="DP21" s="401">
        <f t="shared" si="250"/>
        <v>3.000003E-2</v>
      </c>
      <c r="DQ21" s="377" t="str">
        <f t="shared" ref="DQ21" si="319">B28</f>
        <v>Pologne</v>
      </c>
    </row>
    <row r="22" spans="1:121" ht="15.75" thickBot="1" x14ac:dyDescent="0.3">
      <c r="A22" s="619"/>
      <c r="B22" s="378" t="str">
        <f>'Matchs de Qualification'!C13</f>
        <v>Pays de Galles</v>
      </c>
      <c r="C22" s="109"/>
      <c r="D22" s="110"/>
      <c r="E22" s="352" t="str">
        <f>E19</f>
        <v>Slovaquie</v>
      </c>
      <c r="F22" s="333" t="str">
        <f>IF(C22&gt;D22,B22,IF(C22&lt;D22,E22,IF(C22="","Non joué",IF(C22=D22,"Égalité"))))</f>
        <v>Non joué</v>
      </c>
      <c r="G22" s="445"/>
      <c r="H22" s="446"/>
      <c r="I22" s="427"/>
      <c r="J22" s="428"/>
      <c r="K22" s="100"/>
      <c r="L22" s="97"/>
      <c r="M22" s="97"/>
      <c r="N22" s="97"/>
      <c r="O22" s="403"/>
      <c r="P22" s="97"/>
      <c r="Q22" s="97"/>
      <c r="R22" s="97"/>
      <c r="S22" s="608"/>
      <c r="T22" s="610"/>
      <c r="U22" s="97"/>
      <c r="V22" s="97"/>
      <c r="W22" s="97"/>
      <c r="X22" s="97"/>
      <c r="Y22" s="97"/>
      <c r="Z22" s="97"/>
      <c r="AA22" s="98"/>
      <c r="AC22" s="229">
        <v>3</v>
      </c>
      <c r="AD22" s="326" t="str">
        <f t="shared" si="287"/>
        <v/>
      </c>
      <c r="AE22" s="230" t="str">
        <f>VLOOKUP(LARGE(AL7:AL12,3),AL7:AM12,2,FALSE)</f>
        <v/>
      </c>
      <c r="AF22" s="231">
        <f t="shared" si="288"/>
        <v>0</v>
      </c>
      <c r="AG22" s="231">
        <f t="shared" si="289"/>
        <v>0</v>
      </c>
      <c r="AH22" s="232">
        <f t="shared" si="290"/>
        <v>0</v>
      </c>
      <c r="AI22" s="416">
        <f>VLOOKUP($AE22,$AD$7:$AI$12,5,FALSE)</f>
        <v>0</v>
      </c>
      <c r="AJ22" s="409">
        <f t="shared" si="292"/>
        <v>0</v>
      </c>
      <c r="AL22" s="129"/>
      <c r="AO22" s="129"/>
      <c r="AP22" s="129"/>
      <c r="AQ22" s="45" t="str">
        <f t="shared" ref="AQ22" si="320">E25</f>
        <v>Irlande du Nord</v>
      </c>
      <c r="AR22" s="45">
        <f t="shared" si="255"/>
        <v>0</v>
      </c>
      <c r="AS22" s="45">
        <f t="shared" si="294"/>
        <v>0</v>
      </c>
      <c r="AT22" s="45">
        <f t="shared" ref="AT22" si="321">D28</f>
        <v>0</v>
      </c>
      <c r="AU22" s="493"/>
      <c r="AW22" s="45" t="str">
        <f>IF(OR(VLOOKUP(E25,DK19:DL22,2,FALSE)=DL19,VLOOKUP(E25,DK19:DL22,2,FALSE)=DL20,VLOOKUP(E25,DK19:DL22,2,FALSE)=DL21),E25,"")</f>
        <v>Irlande du Nord</v>
      </c>
      <c r="AX22" s="3" t="str">
        <f>IF(AND(AW22&lt;&gt;"",AX18&lt;&gt;""),IF(VLOOKUP(AW22,DK19:DL22,2,FALSE)=VLOOKUP(AX18,DK19:DL22,2,FALSE),IF(AR22&gt;AU19,"Vainqueur",IF(AR22&lt;AU19,"Perdant","Egalité")),"Pas d'égalité"),"")</f>
        <v>Egalité</v>
      </c>
      <c r="AY22" s="3" t="str">
        <f>IF(AND(AW22&lt;&gt;"",AY18&lt;&gt;""),IF(VLOOKUP(AW22,DK19:DL22,2,FALSE)=VLOOKUP(AY18,DK19:DL22,2,FALSE),IF(AS22&gt;AU20,"Vainqueur",IF(AS22&lt;AU20,"Perdant","Egalité")),"Pas d'égalité"),"")</f>
        <v>Egalité</v>
      </c>
      <c r="AZ22" s="3" t="str">
        <f>IF(AND(AW22&lt;&gt;"",AZ18&lt;&gt;""),IF(VLOOKUP(AW22,DK19:DL22,2,FALSE)=VLOOKUP(AZ18,DK19:DL22,2,FALSE),IF(AT22&gt;AU21,"Vainqueur",IF(AT22&lt;AU21,"Perdant","Egalité")),"Pas d'égalité"),"")</f>
        <v>Egalité</v>
      </c>
      <c r="BA22" s="3"/>
      <c r="BB22" s="3"/>
      <c r="BC22" s="45" t="str">
        <f t="shared" si="205"/>
        <v>Irlande du Nord</v>
      </c>
      <c r="BD22" s="3">
        <f t="shared" si="206"/>
        <v>3</v>
      </c>
      <c r="BF22" s="45" t="str">
        <f t="shared" si="207"/>
        <v>Irlande du Nord</v>
      </c>
      <c r="BG22" s="3">
        <f t="shared" si="258"/>
        <v>0</v>
      </c>
      <c r="BH22" s="3">
        <f t="shared" si="295"/>
        <v>0</v>
      </c>
      <c r="BI22" s="3">
        <f t="shared" ref="BI22" si="322">IF(OR(AZ22="Vainqueur",AZ22="Perdant",AZ22="Egalité"),AT22,"")</f>
        <v>0</v>
      </c>
      <c r="BL22" s="45" t="str">
        <f t="shared" si="211"/>
        <v>Irlande du Nord</v>
      </c>
      <c r="BM22" s="3">
        <f t="shared" ref="BM22" si="323">IF(BL22&lt;&gt;"",SUM(BG22:BJ22)-SUM(BJ19:BJ22),"")</f>
        <v>0</v>
      </c>
      <c r="BO22" s="45" t="str">
        <f t="shared" si="260"/>
        <v>Irlande du Nord</v>
      </c>
      <c r="BP22" s="3">
        <f t="shared" si="214"/>
        <v>0</v>
      </c>
      <c r="BR22" s="3" t="str">
        <f t="shared" ref="BR22" si="324">E25</f>
        <v>Irlande du Nord</v>
      </c>
      <c r="BS22" s="45">
        <f>IF(BD22&lt;&gt;"",SUM(DL22,BD22/10^2,BM22/10^4,BP22/10^6),DL22)</f>
        <v>0.03</v>
      </c>
      <c r="BT22" s="45">
        <f t="shared" ref="BT22" si="325">RANK(BS22,BS19:BS22)</f>
        <v>1</v>
      </c>
      <c r="BV22" s="45" t="str">
        <f t="shared" ref="BV22" si="326">IF(OR(VLOOKUP(E25,BR19:BS22,2,FALSE)=BS19,VLOOKUP(E25,BR19:BS22,2,FALSE)=BS20,VLOOKUP(E25,BR19:BS22,2,FALSE)=BS21),E25,"")</f>
        <v>Irlande du Nord</v>
      </c>
      <c r="BW22" s="3" t="str">
        <f t="shared" ref="BW22" si="327">IF(AND(BV22&lt;&gt;"",BW18&lt;&gt;""),IF(VLOOKUP(BV22,BR19:BS22,2,FALSE)=VLOOKUP(BW18,BR19:BS22,2,FALSE),IF(AR22&gt;AU19,"Vainqueur",IF(AR22&lt;AU19,"Perdant","Egalité")),"Pas d'égalité"),"")</f>
        <v>Egalité</v>
      </c>
      <c r="BX22" s="3" t="str">
        <f t="shared" ref="BX22" si="328">IF(AND(BV22&lt;&gt;"",BX18&lt;&gt;""),IF(VLOOKUP(BV22,BR19:BS22,2,FALSE)=VLOOKUP(BX18,BR19:BS22,2,FALSE),IF(AS22&gt;AU20,"Vainqueur",IF(AS22&lt;AU20,"Perdant","Egalité")),"Pas d'égalité"),"")</f>
        <v>Egalité</v>
      </c>
      <c r="BY22" s="3" t="str">
        <f t="shared" ref="BY22" si="329">IF(AND(BV22&lt;&gt;"",BY18&lt;&gt;""),IF(VLOOKUP(BV22,BR19:BS22,2,FALSE)=VLOOKUP(BY18,BR19:BS22,2,FALSE),IF(AT22&gt;AU21,"Vainqueur",IF(AT22&lt;AU21,"Perdant","Egalité")),"Pas d'égalité"),"")</f>
        <v>Egalité</v>
      </c>
      <c r="BZ22" s="3"/>
      <c r="CA22" s="3"/>
      <c r="CB22" s="45" t="str">
        <f t="shared" si="221"/>
        <v>Irlande du Nord</v>
      </c>
      <c r="CC22" s="3">
        <f t="shared" si="222"/>
        <v>3</v>
      </c>
      <c r="CE22" s="45" t="str">
        <f t="shared" si="223"/>
        <v>Irlande du Nord</v>
      </c>
      <c r="CF22" s="3">
        <f t="shared" si="267"/>
        <v>0</v>
      </c>
      <c r="CG22" s="3">
        <f t="shared" si="303"/>
        <v>0</v>
      </c>
      <c r="CH22" s="3">
        <f t="shared" ref="CH22" si="330">IF(OR(BY22="Vainqueur",BY22="Perdant",BY22="Egalité"),AT22,"")</f>
        <v>0</v>
      </c>
      <c r="CK22" s="45" t="str">
        <f t="shared" si="227"/>
        <v>Irlande du Nord</v>
      </c>
      <c r="CL22" s="3">
        <f t="shared" ref="CL22" si="331">IF(CK22&lt;&gt;"",SUM(CF22:CI22)-SUM(CI19:CI22),"")</f>
        <v>0</v>
      </c>
      <c r="CN22" s="45" t="str">
        <f t="shared" si="269"/>
        <v>Irlande du Nord</v>
      </c>
      <c r="CO22" s="3">
        <f t="shared" si="230"/>
        <v>0</v>
      </c>
      <c r="CQ22" s="3" t="str">
        <f t="shared" ref="CQ22" si="332">E25</f>
        <v>Irlande du Nord</v>
      </c>
      <c r="CR22" s="45">
        <f t="shared" si="232"/>
        <v>3.000003E-2</v>
      </c>
      <c r="CS22" s="45">
        <f t="shared" ref="CS22" si="333">RANK(CR22,CR19:CR22)</f>
        <v>1</v>
      </c>
      <c r="CU22" s="3" t="str">
        <f t="shared" ref="CU22" si="334">E25</f>
        <v>Irlande du Nord</v>
      </c>
      <c r="CV22" s="3">
        <f t="shared" ref="CV22" si="335">SUM(AR22:AU22)-SUM(AU19:AU22)</f>
        <v>0</v>
      </c>
      <c r="CW22" s="3">
        <f t="shared" si="236"/>
        <v>0</v>
      </c>
      <c r="CY22" s="3" t="str">
        <f t="shared" ref="CY22" si="336">E25</f>
        <v>Irlande du Nord</v>
      </c>
      <c r="CZ22" s="45">
        <f t="shared" ref="CZ22" si="337">IF(OR(CR22=CR19,CR22=CR20,CR22=CR21),SUM(CR22,CV22/10^12,CW22/10^14),CR22)</f>
        <v>3.000003E-2</v>
      </c>
      <c r="DA22" s="45">
        <f t="shared" ref="DA22" si="338">RANK(CZ22,CZ19:CZ22)</f>
        <v>1</v>
      </c>
      <c r="DB22" s="45"/>
      <c r="DC22" s="45" t="str">
        <f t="shared" ref="DC22" si="339">E25</f>
        <v>Irlande du Nord</v>
      </c>
      <c r="DD22" s="45">
        <f t="shared" ref="DD22:DE22" si="340">SUM(I25,I27,I28)</f>
        <v>0</v>
      </c>
      <c r="DE22" s="45">
        <f t="shared" si="340"/>
        <v>0</v>
      </c>
      <c r="DG22" s="3" t="str">
        <f t="shared" ref="DG22" si="341">E25</f>
        <v>Irlande du Nord</v>
      </c>
      <c r="DH22" s="45">
        <f t="shared" ref="DH22" si="342">IF(OR(CZ22=CZ19,CZ22=CZ20,CZ22=CZ21),SUM(CZ22,(-DD22-3*DE22)/10^15),CZ22)</f>
        <v>3.000003E-2</v>
      </c>
      <c r="DI22" s="45">
        <f t="shared" ref="DI22" si="343">RANK(DH22,DH19:DH22)</f>
        <v>1</v>
      </c>
      <c r="DK22" s="377" t="str">
        <f t="shared" ref="DK22" si="344">E25</f>
        <v>Irlande du Nord</v>
      </c>
      <c r="DL22" s="494">
        <f t="shared" ref="DL22" si="345">COUNTIF(F23:F28,E25)*3+COUNTIF(F25,"Égalité")+COUNTIF(F27:F28,"Égalité")</f>
        <v>0</v>
      </c>
      <c r="DM22" s="377">
        <f t="shared" si="247"/>
        <v>0.03</v>
      </c>
      <c r="DN22" s="376">
        <f t="shared" si="248"/>
        <v>3.000003E-2</v>
      </c>
      <c r="DO22" s="376">
        <f t="shared" si="249"/>
        <v>3.000003E-2</v>
      </c>
      <c r="DP22" s="401">
        <f t="shared" si="250"/>
        <v>3.000003E-2</v>
      </c>
      <c r="DQ22" s="377" t="str">
        <f t="shared" ref="DQ22" si="346">E25</f>
        <v>Irlande du Nord</v>
      </c>
    </row>
    <row r="23" spans="1:121" ht="15.75" thickBot="1" x14ac:dyDescent="0.3">
      <c r="A23" s="568" t="s">
        <v>118</v>
      </c>
      <c r="B23" s="310" t="str">
        <f>'Matchs de Qualification'!C28</f>
        <v>Allemagne</v>
      </c>
      <c r="C23" s="111"/>
      <c r="D23" s="112"/>
      <c r="E23" s="353" t="str">
        <f>B26</f>
        <v>Ukraine</v>
      </c>
      <c r="F23" s="512" t="str">
        <f t="shared" si="20"/>
        <v>Non joué</v>
      </c>
      <c r="G23" s="447"/>
      <c r="H23" s="448"/>
      <c r="I23" s="429"/>
      <c r="J23" s="430"/>
      <c r="K23" s="100"/>
      <c r="L23" s="206" t="s">
        <v>115</v>
      </c>
      <c r="M23" s="370" t="s">
        <v>86</v>
      </c>
      <c r="N23" s="154" t="s">
        <v>94</v>
      </c>
      <c r="O23" s="403"/>
      <c r="P23" s="97"/>
      <c r="Q23" s="97"/>
      <c r="R23" s="97"/>
      <c r="S23" s="608" t="str">
        <f>IF(Q24&lt;&gt;Q26,IF(Q24&gt;Q26,P24,P26),"")</f>
        <v/>
      </c>
      <c r="T23" s="610"/>
      <c r="U23" s="97"/>
      <c r="V23" s="97"/>
      <c r="W23" s="97"/>
      <c r="X23" s="97"/>
      <c r="Y23" s="97"/>
      <c r="Z23" s="97"/>
      <c r="AA23" s="98"/>
      <c r="AC23" s="229">
        <v>4</v>
      </c>
      <c r="AD23" s="326" t="str">
        <f t="shared" si="287"/>
        <v/>
      </c>
      <c r="AE23" s="230" t="str">
        <f>VLOOKUP(LARGE(AL7:AL12,4),AL7:AM12,2,FALSE)</f>
        <v/>
      </c>
      <c r="AF23" s="231">
        <f t="shared" si="288"/>
        <v>0</v>
      </c>
      <c r="AG23" s="231">
        <f t="shared" si="289"/>
        <v>0</v>
      </c>
      <c r="AH23" s="232">
        <f t="shared" si="290"/>
        <v>0</v>
      </c>
      <c r="AI23" s="416">
        <f>VLOOKUP($AE23,$AD$7:$AI$12,5,FALSE)</f>
        <v>0</v>
      </c>
      <c r="AJ23" s="409">
        <f t="shared" si="292"/>
        <v>0</v>
      </c>
      <c r="AL23" s="129"/>
      <c r="AO23" s="129"/>
      <c r="AP23" s="129"/>
      <c r="AQ23" s="45"/>
      <c r="AR23" s="45"/>
      <c r="AS23" s="45"/>
      <c r="AY23" s="3"/>
      <c r="AZ23" s="3"/>
      <c r="BA23" s="3"/>
      <c r="BB23" s="3"/>
      <c r="BC23" s="3"/>
      <c r="BD23" s="3"/>
      <c r="BF23" s="3"/>
      <c r="BG23" s="3"/>
      <c r="BS23" s="45"/>
      <c r="BT23" s="45"/>
      <c r="BX23" s="3"/>
      <c r="BY23" s="3"/>
      <c r="BZ23" s="3"/>
      <c r="CA23" s="3"/>
      <c r="CB23" s="3"/>
      <c r="CC23" s="3"/>
      <c r="CE23" s="3"/>
      <c r="CF23" s="3"/>
      <c r="CR23" s="45"/>
      <c r="CS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</row>
    <row r="24" spans="1:121" ht="15.75" thickBot="1" x14ac:dyDescent="0.3">
      <c r="A24" s="569"/>
      <c r="B24" s="311" t="str">
        <f>B23</f>
        <v>Allemagne</v>
      </c>
      <c r="C24" s="113"/>
      <c r="D24" s="114"/>
      <c r="E24" s="354" t="str">
        <f>B28</f>
        <v>Pologne</v>
      </c>
      <c r="F24" s="513" t="str">
        <f t="shared" si="20"/>
        <v>Non joué</v>
      </c>
      <c r="G24" s="447"/>
      <c r="H24" s="448"/>
      <c r="I24" s="429"/>
      <c r="J24" s="430"/>
      <c r="K24" s="100"/>
      <c r="L24" s="116">
        <v>1</v>
      </c>
      <c r="M24" s="334" t="str">
        <f t="shared" ref="M24" si="347">IF(COUNT(C23:D28)&lt;&gt;0,VLOOKUP(MAX(DP19:DP22),DP19:DQ22,2,FALSE),"")</f>
        <v/>
      </c>
      <c r="N24" s="385">
        <f t="shared" ref="N24" si="348">IF(M24&lt;&gt;"",VLOOKUP(M24,DK19:DL22,2,FALSE),0)</f>
        <v>0</v>
      </c>
      <c r="O24" s="403" t="s">
        <v>174</v>
      </c>
      <c r="P24" s="612" t="str">
        <f>M42</f>
        <v/>
      </c>
      <c r="Q24" s="613"/>
      <c r="R24" s="97"/>
      <c r="S24" s="609"/>
      <c r="T24" s="611"/>
      <c r="U24" s="97"/>
      <c r="V24" s="97"/>
      <c r="W24" s="97"/>
      <c r="X24" s="97"/>
      <c r="Y24" s="97"/>
      <c r="Z24" s="97"/>
      <c r="AA24" s="98"/>
      <c r="AC24" s="73">
        <v>5</v>
      </c>
      <c r="AD24" s="327" t="str">
        <f t="shared" si="287"/>
        <v/>
      </c>
      <c r="AE24" s="222" t="str">
        <f>VLOOKUP(LARGE(AL7:AL12,5),AL7:AM12,2,FALSE)</f>
        <v/>
      </c>
      <c r="AF24" s="417">
        <f t="shared" si="288"/>
        <v>0</v>
      </c>
      <c r="AG24" s="417">
        <f t="shared" si="289"/>
        <v>0</v>
      </c>
      <c r="AH24" s="414">
        <f t="shared" si="290"/>
        <v>0</v>
      </c>
      <c r="AI24" s="418">
        <f>VLOOKUP($AE24,$AD$7:$AI$12,5,FALSE)</f>
        <v>0</v>
      </c>
      <c r="AJ24" s="412">
        <f t="shared" si="292"/>
        <v>0</v>
      </c>
      <c r="AL24" s="129"/>
      <c r="AQ24" s="45"/>
      <c r="AR24" s="45" t="str">
        <f t="shared" ref="AR24" si="349">AQ25</f>
        <v>Espagne</v>
      </c>
      <c r="AS24" s="3" t="str">
        <f t="shared" ref="AS24" si="350">AQ26</f>
        <v>R. tchèque</v>
      </c>
      <c r="AT24" s="3" t="str">
        <f t="shared" ref="AT24" si="351">AQ27</f>
        <v>Turquie</v>
      </c>
      <c r="AU24" s="3" t="str">
        <f t="shared" ref="AU24" si="352">AQ28</f>
        <v>Croatie</v>
      </c>
      <c r="AX24" s="45" t="str">
        <f t="shared" ref="AX24" si="353">AW25</f>
        <v>Espagne</v>
      </c>
      <c r="AY24" s="3" t="str">
        <f t="shared" ref="AY24" si="354">AW26</f>
        <v>R. tchèque</v>
      </c>
      <c r="AZ24" s="3" t="str">
        <f t="shared" ref="AZ24" si="355">AW27</f>
        <v>Turquie</v>
      </c>
      <c r="BA24" s="3" t="str">
        <f t="shared" ref="BA24" si="356">AW28</f>
        <v>Croatie</v>
      </c>
      <c r="BB24" s="3"/>
      <c r="BG24" s="45" t="str">
        <f t="shared" ref="BG24" si="357">BF25</f>
        <v>Espagne</v>
      </c>
      <c r="BH24" s="3" t="str">
        <f t="shared" ref="BH24" si="358">BF26</f>
        <v>R. tchèque</v>
      </c>
      <c r="BI24" s="3" t="str">
        <f t="shared" ref="BI24" si="359">BF27</f>
        <v>Turquie</v>
      </c>
      <c r="BJ24" s="3" t="str">
        <f t="shared" ref="BJ24" si="360">BF28</f>
        <v>Croatie</v>
      </c>
      <c r="BL24" s="45"/>
      <c r="BM24" s="45"/>
      <c r="BO24" s="45"/>
      <c r="BP24" s="45"/>
      <c r="BQ24" s="45"/>
      <c r="BR24" s="45"/>
      <c r="BS24" s="45" t="s">
        <v>188</v>
      </c>
      <c r="BT24" s="45" t="s">
        <v>115</v>
      </c>
      <c r="BU24" s="45"/>
      <c r="BW24" s="45" t="str">
        <f t="shared" ref="BW24" si="361">BV25</f>
        <v>Espagne</v>
      </c>
      <c r="BX24" s="3" t="str">
        <f t="shared" ref="BX24" si="362">BV26</f>
        <v>R. tchèque</v>
      </c>
      <c r="BY24" s="3" t="str">
        <f t="shared" ref="BY24" si="363">BV27</f>
        <v>Turquie</v>
      </c>
      <c r="BZ24" s="3" t="str">
        <f t="shared" ref="BZ24" si="364">BV28</f>
        <v>Croatie</v>
      </c>
      <c r="CA24" s="3"/>
      <c r="CF24" s="45" t="str">
        <f t="shared" ref="CF24" si="365">CE25</f>
        <v>Espagne</v>
      </c>
      <c r="CG24" s="3" t="str">
        <f t="shared" ref="CG24" si="366">CE26</f>
        <v>R. tchèque</v>
      </c>
      <c r="CH24" s="3" t="str">
        <f t="shared" ref="CH24" si="367">CE27</f>
        <v>Turquie</v>
      </c>
      <c r="CI24" s="3" t="str">
        <f t="shared" ref="CI24" si="368">CE28</f>
        <v>Croatie</v>
      </c>
      <c r="CK24" s="45"/>
      <c r="CL24" s="45"/>
      <c r="CN24" s="45"/>
      <c r="CO24" s="45"/>
      <c r="CP24" s="45"/>
      <c r="CQ24" s="45"/>
      <c r="CR24" s="45" t="s">
        <v>188</v>
      </c>
      <c r="CS24" s="45" t="s">
        <v>115</v>
      </c>
      <c r="CT24" s="45"/>
      <c r="CV24" s="45"/>
      <c r="CW24" s="45"/>
      <c r="CY24" s="45"/>
      <c r="CZ24" s="45" t="s">
        <v>188</v>
      </c>
      <c r="DA24" s="45" t="s">
        <v>115</v>
      </c>
      <c r="DB24" s="45"/>
      <c r="DG24" s="45"/>
      <c r="DH24" s="45" t="s">
        <v>188</v>
      </c>
      <c r="DI24" s="45" t="s">
        <v>115</v>
      </c>
      <c r="DK24" s="376" t="s">
        <v>86</v>
      </c>
      <c r="DL24" s="377" t="s">
        <v>94</v>
      </c>
      <c r="DM24" s="377" t="s">
        <v>205</v>
      </c>
      <c r="DN24" s="377" t="s">
        <v>206</v>
      </c>
      <c r="DO24" s="377" t="s">
        <v>200</v>
      </c>
      <c r="DP24" s="376" t="s">
        <v>116</v>
      </c>
      <c r="DQ24" s="377" t="s">
        <v>86</v>
      </c>
    </row>
    <row r="25" spans="1:121" ht="15.75" thickBot="1" x14ac:dyDescent="0.3">
      <c r="A25" s="569"/>
      <c r="B25" s="311" t="str">
        <f>B23</f>
        <v>Allemagne</v>
      </c>
      <c r="C25" s="113"/>
      <c r="D25" s="114"/>
      <c r="E25" s="354" t="str">
        <f>'Matchs de Qualification'!L6</f>
        <v>Irlande du Nord</v>
      </c>
      <c r="F25" s="298" t="str">
        <f t="shared" si="20"/>
        <v>Non joué</v>
      </c>
      <c r="G25" s="449"/>
      <c r="H25" s="450"/>
      <c r="I25" s="431"/>
      <c r="J25" s="432"/>
      <c r="K25" s="100"/>
      <c r="L25" s="117">
        <v>2</v>
      </c>
      <c r="M25" s="335" t="str">
        <f t="shared" ref="M25" si="369">IF(COUNT(C23:D28)&lt;&gt;0,VLOOKUP(LARGE(DP19:DP22,2),DP19:DQ22,2,FALSE),"")</f>
        <v/>
      </c>
      <c r="N25" s="386">
        <f t="shared" ref="N25" si="370">IF(M25&lt;&gt;"",VLOOKUP(M25,DK19:DL22,2,FALSE),0)</f>
        <v>0</v>
      </c>
      <c r="O25" s="403"/>
      <c r="P25" s="608"/>
      <c r="Q25" s="610"/>
      <c r="R25" s="97"/>
      <c r="S25" s="97"/>
      <c r="T25" s="97"/>
      <c r="U25" s="97"/>
      <c r="V25" s="97"/>
      <c r="W25" s="97"/>
      <c r="X25" s="97"/>
      <c r="Y25" s="97"/>
      <c r="Z25" s="97"/>
      <c r="AA25" s="98"/>
      <c r="AC25" s="74">
        <v>6</v>
      </c>
      <c r="AD25" s="328" t="str">
        <f t="shared" si="287"/>
        <v/>
      </c>
      <c r="AE25" s="223" t="str">
        <f>VLOOKUP(MIN(AL7:AL12),AL7:AM12,2,FALSE)</f>
        <v/>
      </c>
      <c r="AF25" s="419">
        <f t="shared" si="288"/>
        <v>0</v>
      </c>
      <c r="AG25" s="419">
        <f t="shared" si="289"/>
        <v>0</v>
      </c>
      <c r="AH25" s="420">
        <f t="shared" si="290"/>
        <v>0</v>
      </c>
      <c r="AI25" s="421">
        <f>VLOOKUP($AE25,$AD$7:$AI$12,5,FALSE)</f>
        <v>0</v>
      </c>
      <c r="AJ25" s="422">
        <f t="shared" si="292"/>
        <v>0</v>
      </c>
      <c r="AK25" s="129"/>
      <c r="AL25" s="129"/>
      <c r="AQ25" s="45" t="str">
        <f t="shared" ref="AQ25" si="371">B29</f>
        <v>Espagne</v>
      </c>
      <c r="AR25" s="493"/>
      <c r="AS25" s="45">
        <f t="shared" ref="AS25" si="372">C29</f>
        <v>0</v>
      </c>
      <c r="AT25" s="45">
        <f t="shared" ref="AT25" si="373">C30</f>
        <v>0</v>
      </c>
      <c r="AU25" s="45">
        <f t="shared" ref="AU25" si="374">C31</f>
        <v>0</v>
      </c>
      <c r="AW25" s="45" t="str">
        <f>IF(OR(VLOOKUP(B29,DK25:DL28,2,FALSE)=DL26,VLOOKUP(B29,DK25:DL28,2,FALSE)=DL27,VLOOKUP(B29,DK25:DL28,2,FALSE)=DL28),B29,"")</f>
        <v>Espagne</v>
      </c>
      <c r="AX25" s="3"/>
      <c r="AY25" s="3" t="str">
        <f>IF(AND(AW25&lt;&gt;"",AY24&lt;&gt;""),IF(VLOOKUP(AW25,DK25:DL28,2,FALSE)=VLOOKUP(AY24,DK25:DL28,2,FALSE),IF(AS25&gt;AR26,"Vainqueur",IF(AS25&lt;AR26,"Perdant","Egalité")),"Pas d'égalité"),"")</f>
        <v>Egalité</v>
      </c>
      <c r="AZ25" s="3" t="str">
        <f>IF(AND(AW25&lt;&gt;"",AZ24&lt;&gt;""),IF(VLOOKUP(AW25,DK25:DL28,2,FALSE)=VLOOKUP(AZ24,DK25:DL28,2,FALSE),IF(AT25&gt;AR27,"Vainqueur",IF(AT25&lt;AR27,"Perdant","Egalité")),"Pas d'égalité"),"")</f>
        <v>Egalité</v>
      </c>
      <c r="BA25" s="3" t="str">
        <f>IF(AND(AW25&lt;&gt;"",BA24&lt;&gt;""),IF(VLOOKUP(AW25,DK25:DL28,2,FALSE)=VLOOKUP(BA24,DK25:DL28,2,FALSE),IF(AU25&gt;AR28,"Vainqueur",IF(AU25&lt;AR28,"Perdant","Egalité")),"Pas d'égalité"),"")</f>
        <v>Egalité</v>
      </c>
      <c r="BB25" s="3"/>
      <c r="BC25" s="45" t="str">
        <f t="shared" ref="BC25:BC28" si="375">AW25</f>
        <v>Espagne</v>
      </c>
      <c r="BD25" s="3">
        <f t="shared" ref="BD25:BD28" si="376">IF(BC25&lt;&gt;"",3*COUNTIF(AX25:BA25,"Vainqueur")+COUNTIF(AX25:BA25,"Egalité"),"")</f>
        <v>3</v>
      </c>
      <c r="BF25" s="45" t="str">
        <f t="shared" ref="BF25:BF28" si="377">AW25</f>
        <v>Espagne</v>
      </c>
      <c r="BG25" s="3"/>
      <c r="BH25" s="3">
        <f t="shared" ref="BH25" si="378">IF(OR(AY25="Vainqueur",AY25="Perdant",AY25="Egalité"),AS25,"")</f>
        <v>0</v>
      </c>
      <c r="BI25" s="3">
        <f t="shared" ref="BI25:BI26" si="379">IF(OR(AZ25="Vainqueur",AZ25="Perdant",AZ25="Egalité"),AT25,"")</f>
        <v>0</v>
      </c>
      <c r="BJ25" s="3">
        <f t="shared" ref="BJ25:BJ27" si="380">IF(OR(BA25="Vainqueur",BA25="Perdant",BA25="Egalité"),AU25,"")</f>
        <v>0</v>
      </c>
      <c r="BL25" s="45" t="str">
        <f t="shared" ref="BL25:BL28" si="381">AW25</f>
        <v>Espagne</v>
      </c>
      <c r="BM25" s="3">
        <f t="shared" ref="BM25" si="382">IF(BL25&lt;&gt;"",SUM(BG25:BJ25)-SUM(BG25:BG28),"")</f>
        <v>0</v>
      </c>
      <c r="BO25" s="45" t="str">
        <f t="shared" ref="BO25" si="383">BF25</f>
        <v>Espagne</v>
      </c>
      <c r="BP25" s="3">
        <f t="shared" ref="BP25:BP28" si="384">IF(BO25&lt;&gt;"",SUM(BG25:BJ25),"")</f>
        <v>0</v>
      </c>
      <c r="BR25" s="3" t="str">
        <f t="shared" ref="BR25" si="385">B29</f>
        <v>Espagne</v>
      </c>
      <c r="BS25" s="45">
        <f>IF(BD25&lt;&gt;"",SUM(DL25,BD25/10^2,BM25/10^4,BP25/10^6),DL25)</f>
        <v>0.03</v>
      </c>
      <c r="BT25" s="45">
        <f t="shared" ref="BT25" si="386">RANK(BS25,BS25:BS28)</f>
        <v>1</v>
      </c>
      <c r="BV25" s="45" t="str">
        <f t="shared" ref="BV25" si="387">IF(OR(VLOOKUP(B29,BR25:BS28,2,FALSE)=BS26,VLOOKUP(B29,BR25:BS28,2,FALSE)=BS27,VLOOKUP(B29,BR25:BS28,2,FALSE)=BS28),B29,"")</f>
        <v>Espagne</v>
      </c>
      <c r="BW25" s="3"/>
      <c r="BX25" s="3" t="str">
        <f t="shared" ref="BX25" si="388">IF(AND(BV25&lt;&gt;"",BX24&lt;&gt;""),IF(VLOOKUP(BV25,BR25:BS28,2,FALSE)=VLOOKUP(BX24,BR25:BS28,2,FALSE),IF(AS25&gt;AR26,"Vainqueur",IF(AS25&lt;AR26,"Perdant","Egalité")),"Pas d'égalité"),"")</f>
        <v>Egalité</v>
      </c>
      <c r="BY25" s="3" t="str">
        <f t="shared" ref="BY25" si="389">IF(AND(BV25&lt;&gt;"",BY24&lt;&gt;""),IF(VLOOKUP(BV25,BR25:BS28,2,FALSE)=VLOOKUP(BY24,BR25:BS28,2,FALSE),IF(AT25&gt;AR27,"Vainqueur",IF(AT25&lt;AR27,"Perdant","Egalité")),"Pas d'égalité"),"")</f>
        <v>Egalité</v>
      </c>
      <c r="BZ25" s="3" t="str">
        <f t="shared" ref="BZ25" si="390">IF(AND(BV25&lt;&gt;"",BZ24&lt;&gt;""),IF(VLOOKUP(BV25,BR25:BS28,2,FALSE)=VLOOKUP(BZ24,BR25:BS28,2,FALSE),IF(AU25&gt;AR28,"Vainqueur",IF(AU25&lt;AR28,"Perdant","Egalité")),"Pas d'égalité"),"")</f>
        <v>Egalité</v>
      </c>
      <c r="CA25" s="3"/>
      <c r="CB25" s="45" t="str">
        <f t="shared" ref="CB25:CB28" si="391">BV25</f>
        <v>Espagne</v>
      </c>
      <c r="CC25" s="3">
        <f t="shared" ref="CC25:CC28" si="392">IF(CB25&lt;&gt;"",3*COUNTIF(BW25:BZ25,"Vainqueur")+COUNTIF(BW25:BZ25,"Egalité"),"")</f>
        <v>3</v>
      </c>
      <c r="CE25" s="45" t="str">
        <f t="shared" ref="CE25:CE28" si="393">BV25</f>
        <v>Espagne</v>
      </c>
      <c r="CF25" s="3"/>
      <c r="CG25" s="3">
        <f t="shared" ref="CG25" si="394">IF(OR(BX25="Vainqueur",BX25="Perdant",BX25="Egalité"),AS25,"")</f>
        <v>0</v>
      </c>
      <c r="CH25" s="3">
        <f t="shared" ref="CH25:CH26" si="395">IF(OR(BY25="Vainqueur",BY25="Perdant",BY25="Egalité"),AT25,"")</f>
        <v>0</v>
      </c>
      <c r="CI25" s="3">
        <f t="shared" ref="CI25:CI27" si="396">IF(OR(BZ25="Vainqueur",BZ25="Perdant",BZ25="Egalité"),AU25,"")</f>
        <v>0</v>
      </c>
      <c r="CK25" s="45" t="str">
        <f t="shared" ref="CK25:CK28" si="397">BV25</f>
        <v>Espagne</v>
      </c>
      <c r="CL25" s="3">
        <f t="shared" ref="CL25" si="398">IF(CK25&lt;&gt;"",SUM(CF25:CI25)-SUM(CF25:CF28),"")</f>
        <v>0</v>
      </c>
      <c r="CN25" s="45" t="str">
        <f t="shared" ref="CN25" si="399">CE25</f>
        <v>Espagne</v>
      </c>
      <c r="CO25" s="3">
        <f t="shared" ref="CO25:CO28" si="400">IF(CN25&lt;&gt;"",SUM(CF25:CI25),"")</f>
        <v>0</v>
      </c>
      <c r="CQ25" s="3" t="str">
        <f t="shared" ref="CQ25" si="401">B29</f>
        <v>Espagne</v>
      </c>
      <c r="CR25" s="45">
        <f t="shared" ref="CR25:CR28" si="402">IF(CC25&lt;&gt;"",SUM(BS25,CC25/10^8,CL25/10^9,CO25/10^10),BS25)</f>
        <v>3.000003E-2</v>
      </c>
      <c r="CS25" s="45">
        <f t="shared" ref="CS25" si="403">RANK(CR25,CR25:CR28)</f>
        <v>1</v>
      </c>
      <c r="CU25" s="3" t="str">
        <f t="shared" ref="CU25" si="404">B29</f>
        <v>Espagne</v>
      </c>
      <c r="CV25" s="3">
        <f t="shared" ref="CV25" si="405">SUM(AR25:AU25)-SUM(AR25:AR28)</f>
        <v>0</v>
      </c>
      <c r="CW25" s="3">
        <f t="shared" ref="CW25:CW28" si="406">SUM(AR25:AU25)</f>
        <v>0</v>
      </c>
      <c r="CY25" s="3" t="str">
        <f t="shared" ref="CY25" si="407">B29</f>
        <v>Espagne</v>
      </c>
      <c r="CZ25" s="45">
        <f t="shared" ref="CZ25" si="408">IF(OR(CR25=CR26,CR25=CR27,CR25=CR28),SUM(CR25,CV25/10^12,CW25/10^14),CR25)</f>
        <v>3.000003E-2</v>
      </c>
      <c r="DA25" s="45">
        <f t="shared" ref="DA25" si="409">RANK(CZ25,CZ25:CZ28)</f>
        <v>1</v>
      </c>
      <c r="DB25" s="45"/>
      <c r="DC25" s="45" t="str">
        <f t="shared" ref="DC25" si="410">B29</f>
        <v>Espagne</v>
      </c>
      <c r="DD25" s="45">
        <f>SUM(G29,G30,G31)</f>
        <v>0</v>
      </c>
      <c r="DE25" s="45">
        <f t="shared" ref="DE25" si="411">SUM(H29,H30,H31)</f>
        <v>0</v>
      </c>
      <c r="DG25" s="3" t="str">
        <f t="shared" ref="DG25" si="412">B29</f>
        <v>Espagne</v>
      </c>
      <c r="DH25" s="45">
        <f t="shared" ref="DH25" si="413">IF(OR(CZ25=CZ26,CZ25=CZ27,CZ25=CZ28),SUM(CZ25,(-DD25-3*DE25)/10^15),CZ25)</f>
        <v>3.000003E-2</v>
      </c>
      <c r="DI25" s="45">
        <f t="shared" ref="DI25" si="414">RANK(DH25,DH25:DH28)</f>
        <v>1</v>
      </c>
      <c r="DK25" s="376" t="str">
        <f t="shared" ref="DK25" si="415">B29</f>
        <v>Espagne</v>
      </c>
      <c r="DL25" s="377">
        <f t="shared" ref="DL25" si="416">COUNTIF(F29:F34,B29)*3+COUNTIF(F29:F31,"Égalité")</f>
        <v>0</v>
      </c>
      <c r="DM25" s="377">
        <f t="shared" ref="DM25:DM28" si="417">BS25</f>
        <v>0.03</v>
      </c>
      <c r="DN25" s="376">
        <f t="shared" ref="DN25:DN28" si="418">CR25</f>
        <v>3.000003E-2</v>
      </c>
      <c r="DO25" s="376">
        <f t="shared" ref="DO25:DO28" si="419">CZ25</f>
        <v>3.000003E-2</v>
      </c>
      <c r="DP25" s="401">
        <f t="shared" ref="DP25:DP28" si="420">DH25</f>
        <v>3.000003E-2</v>
      </c>
      <c r="DQ25" s="377" t="str">
        <f t="shared" ref="DQ25" si="421">B29</f>
        <v>Espagne</v>
      </c>
    </row>
    <row r="26" spans="1:121" ht="15.75" thickBot="1" x14ac:dyDescent="0.3">
      <c r="A26" s="569"/>
      <c r="B26" s="311" t="str">
        <f>'Matchs de Qualification'!C22</f>
        <v>Ukraine</v>
      </c>
      <c r="C26" s="113"/>
      <c r="D26" s="114"/>
      <c r="E26" s="354" t="str">
        <f>B28</f>
        <v>Pologne</v>
      </c>
      <c r="F26" s="513" t="str">
        <f t="shared" si="20"/>
        <v>Non joué</v>
      </c>
      <c r="G26" s="447"/>
      <c r="H26" s="448"/>
      <c r="I26" s="429"/>
      <c r="J26" s="430"/>
      <c r="K26" s="100"/>
      <c r="L26" s="115">
        <v>3</v>
      </c>
      <c r="M26" s="336" t="str">
        <f t="shared" ref="M26" si="422">IF(COUNT(C23:D28)&lt;&gt;0,VLOOKUP(LARGE(DP19:DP22,3),DP19:DQ22,2,FALSE),"")</f>
        <v/>
      </c>
      <c r="N26" s="387">
        <f t="shared" ref="N26" si="423">IF(M26&lt;&gt;"",VLOOKUP(M26,DK19:DL22,2,FALSE),0)</f>
        <v>0</v>
      </c>
      <c r="O26" s="403"/>
      <c r="P26" s="608" t="str">
        <f>M37</f>
        <v/>
      </c>
      <c r="Q26" s="610"/>
      <c r="R26" s="97"/>
      <c r="S26" s="97"/>
      <c r="T26" s="97"/>
      <c r="U26" s="97"/>
      <c r="V26" s="97"/>
      <c r="W26" s="97"/>
      <c r="X26" s="97"/>
      <c r="Y26" s="633" t="s">
        <v>124</v>
      </c>
      <c r="Z26" s="634"/>
      <c r="AA26" s="98"/>
      <c r="AQ26" s="45" t="str">
        <f t="shared" ref="AQ26" si="424">B32</f>
        <v>R. tchèque</v>
      </c>
      <c r="AR26" s="45">
        <f t="shared" ref="AR26:AR28" si="425">D29</f>
        <v>0</v>
      </c>
      <c r="AS26" s="493"/>
      <c r="AT26" s="45">
        <f t="shared" ref="AT26" si="426">C32</f>
        <v>0</v>
      </c>
      <c r="AU26" s="45">
        <f t="shared" ref="AU26:AU27" si="427">C33</f>
        <v>0</v>
      </c>
      <c r="AW26" s="45" t="str">
        <f>IF(OR(VLOOKUP(B32,DK25:DL28,2,FALSE)=DL25,VLOOKUP(B32,DK25:DL28,2,FALSE)=DL27,VLOOKUP(B32,DK25:DL28,2,FALSE)=DL28),B32,"")</f>
        <v>R. tchèque</v>
      </c>
      <c r="AX26" s="3" t="str">
        <f>IF(AND(AW26&lt;&gt;"",AX24&lt;&gt;""),IF(VLOOKUP(AW26,DK25:DL28,2,FALSE)=VLOOKUP(AX24,DK25:DL28,2,FALSE),IF(AR26&gt;AS25,"Vainqueur",IF(AR26&lt;AS25,"Perdant","Egalité")),"Pas d'égalité"),"")</f>
        <v>Egalité</v>
      </c>
      <c r="AY26" s="3"/>
      <c r="AZ26" s="3" t="str">
        <f>IF(AND(AW26&lt;&gt;"",AZ24&lt;&gt;""),IF(VLOOKUP(AW26,DK25:DL28,2,FALSE)=VLOOKUP(AZ24,DK25:DL28,2,FALSE),IF(AT26&gt;AS27,"Vainqueur",IF(AT26&lt;AS27,"Perdant","Egalité")),"Pas d'égalité"),"")</f>
        <v>Egalité</v>
      </c>
      <c r="BA26" s="3" t="str">
        <f>IF(AND(AW26&lt;&gt;"",BA24&lt;&gt;""),IF(VLOOKUP(AW26,DK25:DL28,2,FALSE)=VLOOKUP(BA24,DK25:DL28,2,FALSE),IF(AU26&gt;AS28,"Vainqueur",IF(AU26&lt;AS28,"Perdant","Egalité")),"Pas d'égalité"),"")</f>
        <v>Egalité</v>
      </c>
      <c r="BB26" s="3"/>
      <c r="BC26" s="45" t="str">
        <f t="shared" si="375"/>
        <v>R. tchèque</v>
      </c>
      <c r="BD26" s="3">
        <f t="shared" si="376"/>
        <v>3</v>
      </c>
      <c r="BF26" s="45" t="str">
        <f t="shared" si="377"/>
        <v>R. tchèque</v>
      </c>
      <c r="BG26" s="3">
        <f t="shared" ref="BG26:BG28" si="428">IF(OR(AX26="Vainqueur",AX26="Perdant",AX26="Egalité"),AR26,"")</f>
        <v>0</v>
      </c>
      <c r="BI26" s="3">
        <f t="shared" si="379"/>
        <v>0</v>
      </c>
      <c r="BJ26" s="3">
        <f t="shared" si="380"/>
        <v>0</v>
      </c>
      <c r="BL26" s="45" t="str">
        <f t="shared" si="381"/>
        <v>R. tchèque</v>
      </c>
      <c r="BM26" s="3">
        <f t="shared" ref="BM26" si="429">IF(BL26&lt;&gt;"",SUM(BG26:BJ26)-SUM(BH25:BH28),"")</f>
        <v>0</v>
      </c>
      <c r="BO26" s="45" t="str">
        <f t="shared" ref="BO26:BO28" si="430">AW26</f>
        <v>R. tchèque</v>
      </c>
      <c r="BP26" s="3">
        <f t="shared" si="384"/>
        <v>0</v>
      </c>
      <c r="BR26" s="3" t="str">
        <f t="shared" ref="BR26" si="431">B32</f>
        <v>R. tchèque</v>
      </c>
      <c r="BS26" s="45">
        <f>IF(BD26&lt;&gt;"",SUM(DL26,BD26/10^2,BM26/10^4,BP26/10^6),DL26)</f>
        <v>0.03</v>
      </c>
      <c r="BT26" s="45">
        <f t="shared" ref="BT26" si="432">RANK(BS26,BS25:BS28)</f>
        <v>1</v>
      </c>
      <c r="BV26" s="45" t="str">
        <f t="shared" ref="BV26" si="433">IF(OR(VLOOKUP(B32,BR25:BS28,2,FALSE)=BS25,VLOOKUP(B32,BR25:BS28,2,FALSE)=BS27,VLOOKUP(B32,BR25:BS28,2,FALSE)=BS28),B32,"")</f>
        <v>R. tchèque</v>
      </c>
      <c r="BW26" s="3" t="str">
        <f t="shared" ref="BW26" si="434">IF(AND(BV26&lt;&gt;"",BW24&lt;&gt;""),IF(VLOOKUP(BV26,BR25:BS28,2,FALSE)=VLOOKUP(BW24,BR25:BS28,2,FALSE),IF(AR26&gt;AS25,"Vainqueur",IF(AR26&lt;AS25,"Perdant","Egalité")),"Pas d'égalité"),"")</f>
        <v>Egalité</v>
      </c>
      <c r="BX26" s="3"/>
      <c r="BY26" s="3" t="str">
        <f t="shared" ref="BY26" si="435">IF(AND(BV26&lt;&gt;"",BY24&lt;&gt;""),IF(VLOOKUP(BV26,BR25:BS28,2,FALSE)=VLOOKUP(BY24,BR25:BS28,2,FALSE),IF(AT26&gt;AS27,"Vainqueur",IF(AT26&lt;AS27,"Perdant","Egalité")),"Pas d'égalité"),"")</f>
        <v>Egalité</v>
      </c>
      <c r="BZ26" s="3" t="str">
        <f t="shared" ref="BZ26" si="436">IF(AND(BV26&lt;&gt;"",BZ24&lt;&gt;""),IF(VLOOKUP(BV26,BR25:BS28,2,FALSE)=VLOOKUP(BZ24,BR25:BS28,2,FALSE),IF(AU26&gt;AS28,"Vainqueur",IF(AU26&lt;AS28,"Perdant","Egalité")),"Pas d'égalité"),"")</f>
        <v>Egalité</v>
      </c>
      <c r="CA26" s="3"/>
      <c r="CB26" s="45" t="str">
        <f t="shared" si="391"/>
        <v>R. tchèque</v>
      </c>
      <c r="CC26" s="3">
        <f t="shared" si="392"/>
        <v>3</v>
      </c>
      <c r="CE26" s="45" t="str">
        <f t="shared" si="393"/>
        <v>R. tchèque</v>
      </c>
      <c r="CF26" s="3">
        <f t="shared" ref="CF26:CF28" si="437">IF(OR(BW26="Vainqueur",BW26="Perdant",BW26="Egalité"),AR26,"")</f>
        <v>0</v>
      </c>
      <c r="CH26" s="3">
        <f t="shared" si="395"/>
        <v>0</v>
      </c>
      <c r="CI26" s="3">
        <f t="shared" si="396"/>
        <v>0</v>
      </c>
      <c r="CK26" s="45" t="str">
        <f t="shared" si="397"/>
        <v>R. tchèque</v>
      </c>
      <c r="CL26" s="3">
        <f t="shared" ref="CL26" si="438">IF(CK26&lt;&gt;"",SUM(CF26:CI26)-SUM(CG25:CG28),"")</f>
        <v>0</v>
      </c>
      <c r="CN26" s="45" t="str">
        <f t="shared" ref="CN26:CN28" si="439">BV26</f>
        <v>R. tchèque</v>
      </c>
      <c r="CO26" s="3">
        <f t="shared" si="400"/>
        <v>0</v>
      </c>
      <c r="CQ26" s="3" t="str">
        <f t="shared" ref="CQ26" si="440">B32</f>
        <v>R. tchèque</v>
      </c>
      <c r="CR26" s="45">
        <f t="shared" si="402"/>
        <v>3.000003E-2</v>
      </c>
      <c r="CS26" s="45">
        <f t="shared" ref="CS26" si="441">RANK(CR26,CR25:CR28)</f>
        <v>1</v>
      </c>
      <c r="CU26" s="3" t="str">
        <f t="shared" ref="CU26" si="442">B32</f>
        <v>R. tchèque</v>
      </c>
      <c r="CV26" s="3">
        <f t="shared" ref="CV26" si="443">SUM(AR26:AU26)-SUM(AS25:AS28)</f>
        <v>0</v>
      </c>
      <c r="CW26" s="3">
        <f t="shared" si="406"/>
        <v>0</v>
      </c>
      <c r="CY26" s="3" t="str">
        <f t="shared" ref="CY26" si="444">B32</f>
        <v>R. tchèque</v>
      </c>
      <c r="CZ26" s="45">
        <f t="shared" ref="CZ26" si="445">IF(OR(CR26=CR25,CR26=CR27,CR26=CR28),SUM(CR26,CV26/10^12,CW26/10^14),CR26)</f>
        <v>3.000003E-2</v>
      </c>
      <c r="DA26" s="45">
        <f t="shared" ref="DA26" si="446">RANK(CZ26,CZ25:CZ28)</f>
        <v>1</v>
      </c>
      <c r="DB26" s="45"/>
      <c r="DC26" s="45" t="str">
        <f t="shared" ref="DC26" si="447">B32</f>
        <v>R. tchèque</v>
      </c>
      <c r="DD26" s="45">
        <f t="shared" ref="DD26" si="448">SUM(G32,G33,I29)</f>
        <v>0</v>
      </c>
      <c r="DE26" s="45">
        <f t="shared" ref="DE26" si="449">SUM(H32,H33,J29)</f>
        <v>0</v>
      </c>
      <c r="DG26" s="3" t="str">
        <f t="shared" ref="DG26" si="450">B32</f>
        <v>R. tchèque</v>
      </c>
      <c r="DH26" s="45">
        <f t="shared" ref="DH26" si="451">IF(OR(CZ26=CZ25,CZ26=CZ27,CZ26=CZ28),SUM(CZ26,(-DD26-3*DE26)/10^15),CZ26)</f>
        <v>3.000003E-2</v>
      </c>
      <c r="DI26" s="45">
        <f t="shared" ref="DI26" si="452">RANK(DH26,DH25:DH28)</f>
        <v>1</v>
      </c>
      <c r="DK26" s="376" t="str">
        <f t="shared" ref="DK26" si="453">B32</f>
        <v>R. tchèque</v>
      </c>
      <c r="DL26" s="377">
        <f t="shared" ref="DL26" si="454">COUNTIF(F29:F34,B32)*3+COUNTIF(F29,"Égalité")+COUNTIF(F32:F33,"Égalité")</f>
        <v>0</v>
      </c>
      <c r="DM26" s="377">
        <f t="shared" si="417"/>
        <v>0.03</v>
      </c>
      <c r="DN26" s="376">
        <f t="shared" si="418"/>
        <v>3.000003E-2</v>
      </c>
      <c r="DO26" s="376">
        <f t="shared" si="419"/>
        <v>3.000003E-2</v>
      </c>
      <c r="DP26" s="401">
        <f t="shared" si="420"/>
        <v>3.000003E-2</v>
      </c>
      <c r="DQ26" s="377" t="str">
        <f t="shared" ref="DQ26" si="455">B32</f>
        <v>R. tchèque</v>
      </c>
    </row>
    <row r="27" spans="1:121" ht="15.75" customHeight="1" thickBot="1" x14ac:dyDescent="0.3">
      <c r="A27" s="569"/>
      <c r="B27" s="311" t="str">
        <f>B26</f>
        <v>Ukraine</v>
      </c>
      <c r="C27" s="113"/>
      <c r="D27" s="114"/>
      <c r="E27" s="354" t="str">
        <f>E25</f>
        <v>Irlande du Nord</v>
      </c>
      <c r="F27" s="513" t="str">
        <f t="shared" si="20"/>
        <v>Non joué</v>
      </c>
      <c r="G27" s="447"/>
      <c r="H27" s="448"/>
      <c r="I27" s="429"/>
      <c r="J27" s="430"/>
      <c r="K27" s="100"/>
      <c r="L27" s="118">
        <v>4</v>
      </c>
      <c r="M27" s="337" t="str">
        <f t="shared" ref="M27" si="456">IF(COUNT(C23:D28)&lt;&gt;0,VLOOKUP(LARGE(DP19:DP22,4),DP19:DQ22,2,FALSE),"")</f>
        <v/>
      </c>
      <c r="N27" s="388">
        <f t="shared" ref="N27" si="457">IF(M27&lt;&gt;"",VLOOKUP(M27,DK19:DL22,2,FALSE),0)</f>
        <v>0</v>
      </c>
      <c r="O27" s="403" t="s">
        <v>175</v>
      </c>
      <c r="P27" s="609"/>
      <c r="Q27" s="611"/>
      <c r="R27" s="97"/>
      <c r="S27" s="97"/>
      <c r="T27" s="97"/>
      <c r="U27" s="97"/>
      <c r="V27" s="97"/>
      <c r="W27" s="97"/>
      <c r="X27" s="97"/>
      <c r="Y27" s="612" t="str">
        <f>IF(W15&lt;&gt;W17,IF(W15&gt;W17,V15,V17),"")</f>
        <v/>
      </c>
      <c r="Z27" s="613"/>
      <c r="AA27" s="98"/>
      <c r="AB27" s="129"/>
      <c r="AC27" s="577" t="s">
        <v>196</v>
      </c>
      <c r="AD27" s="578"/>
      <c r="AE27" s="578"/>
      <c r="AF27" s="578"/>
      <c r="AG27" s="578"/>
      <c r="AH27" s="578"/>
      <c r="AI27" s="578"/>
      <c r="AJ27" s="579"/>
      <c r="AQ27" s="45" t="str">
        <f t="shared" ref="AQ27" si="458">B34</f>
        <v>Turquie</v>
      </c>
      <c r="AR27" s="45">
        <f t="shared" si="425"/>
        <v>0</v>
      </c>
      <c r="AS27" s="45">
        <f t="shared" ref="AS27:AS28" si="459">D32</f>
        <v>0</v>
      </c>
      <c r="AT27" s="493"/>
      <c r="AU27" s="45">
        <f t="shared" si="427"/>
        <v>0</v>
      </c>
      <c r="AW27" s="45" t="str">
        <f>IF(OR(VLOOKUP(B34,DK25:DL28,2,FALSE)=DL25,VLOOKUP(B34,DK25:DL28,2,FALSE)=DL26,VLOOKUP(B34,DK25:DL28,2,FALSE)=DL28),B34,"")</f>
        <v>Turquie</v>
      </c>
      <c r="AX27" s="3" t="str">
        <f>IF(AND(AW27&lt;&gt;"",AX24&lt;&gt;""),IF(VLOOKUP(AW27,DK25:DL28,2,FALSE)=VLOOKUP(AX24,DK25:DL28,2,FALSE),IF(AR27&gt;AT25,"Vainqueur",IF(AR27&lt;AT25,"Perdant","Egalité")),"Pas d'égalité"),"")</f>
        <v>Egalité</v>
      </c>
      <c r="AY27" s="3" t="str">
        <f>IF(AND(AW27&lt;&gt;"",AY24&lt;&gt;""),IF(VLOOKUP(AW27,DK25:DL28,2,FALSE)=VLOOKUP(AY24,DK25:DL28,2,FALSE),IF(AS27&gt;AT26,"Vainqueur",IF(AS27&lt;AT26,"Perdant","Egalité")),"Pas d'égalité"),"")</f>
        <v>Egalité</v>
      </c>
      <c r="AZ27" s="3"/>
      <c r="BA27" s="3" t="str">
        <f>IF(AND(AW27&lt;&gt;"",BA24&lt;&gt;""),IF(VLOOKUP(AW27,DK25:DL28,2,FALSE)=VLOOKUP(BA24,DK25:DL28,2,FALSE),IF(AU27&gt;AT28,"Vainqueur",IF(AU27&lt;AT28,"Perdant","Egalité")),"Pas d'égalité"),"")</f>
        <v>Egalité</v>
      </c>
      <c r="BB27" s="3"/>
      <c r="BC27" s="45" t="str">
        <f t="shared" si="375"/>
        <v>Turquie</v>
      </c>
      <c r="BD27" s="3">
        <f t="shared" si="376"/>
        <v>3</v>
      </c>
      <c r="BF27" s="45" t="str">
        <f t="shared" si="377"/>
        <v>Turquie</v>
      </c>
      <c r="BG27" s="3">
        <f t="shared" si="428"/>
        <v>0</v>
      </c>
      <c r="BH27" s="3">
        <f t="shared" ref="BH27:BH28" si="460">IF(OR(AY27="Vainqueur",AY27="Perdant",AY27="Egalité"),AS27,"")</f>
        <v>0</v>
      </c>
      <c r="BJ27" s="3">
        <f t="shared" si="380"/>
        <v>0</v>
      </c>
      <c r="BL27" s="45" t="str">
        <f t="shared" si="381"/>
        <v>Turquie</v>
      </c>
      <c r="BM27" s="3">
        <f t="shared" ref="BM27" si="461">IF(BL27&lt;&gt;"",SUM(BG27:BJ27)-SUM(BI25:BI28),"")</f>
        <v>0</v>
      </c>
      <c r="BO27" s="45" t="str">
        <f t="shared" si="430"/>
        <v>Turquie</v>
      </c>
      <c r="BP27" s="3">
        <f t="shared" si="384"/>
        <v>0</v>
      </c>
      <c r="BR27" s="3" t="str">
        <f t="shared" ref="BR27" si="462">B34</f>
        <v>Turquie</v>
      </c>
      <c r="BS27" s="45">
        <f>IF(BD27&lt;&gt;"",SUM(DL27,BD27/10^2,BM27/10^4,BP27/10^6),DL27)</f>
        <v>0.03</v>
      </c>
      <c r="BT27" s="45">
        <f t="shared" ref="BT27" si="463">RANK(BS27,BS25:BS28)</f>
        <v>1</v>
      </c>
      <c r="BV27" s="45" t="str">
        <f t="shared" ref="BV27" si="464">IF(OR(VLOOKUP(B34,BR25:BS28,2,FALSE)=BS25,VLOOKUP(B34,BR25:BS28,2,FALSE)=BS26,VLOOKUP(B34,BR25:BS28,2,FALSE)=BS28),B34,"")</f>
        <v>Turquie</v>
      </c>
      <c r="BW27" s="3" t="str">
        <f t="shared" ref="BW27" si="465">IF(AND(BV27&lt;&gt;"",BW24&lt;&gt;""),IF(VLOOKUP(BV27,BR25:BS28,2,FALSE)=VLOOKUP(BW24,BR25:BS28,2,FALSE),IF(AR27&gt;AT25,"Vainqueur",IF(AR27&lt;AT25,"Perdant","Egalité")),"Pas d'égalité"),"")</f>
        <v>Egalité</v>
      </c>
      <c r="BX27" s="3" t="str">
        <f t="shared" ref="BX27" si="466">IF(AND(BV27&lt;&gt;"",BX24&lt;&gt;""),IF(VLOOKUP(BV27,BR25:BS28,2,FALSE)=VLOOKUP(BX24,BR25:BS28,2,FALSE),IF(AS27&gt;AT26,"Vainqueur",IF(AS27&lt;AT26,"Perdant","Egalité")),"Pas d'égalité"),"")</f>
        <v>Egalité</v>
      </c>
      <c r="BY27" s="3"/>
      <c r="BZ27" s="3" t="str">
        <f t="shared" ref="BZ27" si="467">IF(AND(BV27&lt;&gt;"",BZ24&lt;&gt;""),IF(VLOOKUP(BV27,BR25:BS28,2,FALSE)=VLOOKUP(BZ24,BR25:BS28,2,FALSE),IF(AU27&gt;AT28,"Vainqueur",IF(AU27&lt;AT28,"Perdant","Egalité")),"Pas d'égalité"),"")</f>
        <v>Egalité</v>
      </c>
      <c r="CA27" s="3"/>
      <c r="CB27" s="45" t="str">
        <f t="shared" si="391"/>
        <v>Turquie</v>
      </c>
      <c r="CC27" s="3">
        <f t="shared" si="392"/>
        <v>3</v>
      </c>
      <c r="CE27" s="45" t="str">
        <f t="shared" si="393"/>
        <v>Turquie</v>
      </c>
      <c r="CF27" s="3">
        <f t="shared" si="437"/>
        <v>0</v>
      </c>
      <c r="CG27" s="3">
        <f t="shared" ref="CG27:CG28" si="468">IF(OR(BX27="Vainqueur",BX27="Perdant",BX27="Egalité"),AS27,"")</f>
        <v>0</v>
      </c>
      <c r="CI27" s="3">
        <f t="shared" si="396"/>
        <v>0</v>
      </c>
      <c r="CK27" s="45" t="str">
        <f t="shared" si="397"/>
        <v>Turquie</v>
      </c>
      <c r="CL27" s="3">
        <f t="shared" ref="CL27" si="469">IF(CK27&lt;&gt;"",SUM(CF27:CI27)-SUM(CH25:CH28),"")</f>
        <v>0</v>
      </c>
      <c r="CN27" s="45" t="str">
        <f t="shared" si="439"/>
        <v>Turquie</v>
      </c>
      <c r="CO27" s="3">
        <f t="shared" si="400"/>
        <v>0</v>
      </c>
      <c r="CQ27" s="3" t="str">
        <f t="shared" ref="CQ27" si="470">B34</f>
        <v>Turquie</v>
      </c>
      <c r="CR27" s="45">
        <f t="shared" si="402"/>
        <v>3.000003E-2</v>
      </c>
      <c r="CS27" s="45">
        <f t="shared" ref="CS27" si="471">RANK(CR27,CR25:CR28)</f>
        <v>1</v>
      </c>
      <c r="CU27" s="3" t="str">
        <f t="shared" ref="CU27" si="472">B34</f>
        <v>Turquie</v>
      </c>
      <c r="CV27" s="3">
        <f t="shared" ref="CV27" si="473">SUM(AR27:AU27)-SUM(AT25:AT28)</f>
        <v>0</v>
      </c>
      <c r="CW27" s="3">
        <f t="shared" si="406"/>
        <v>0</v>
      </c>
      <c r="CY27" s="3" t="str">
        <f t="shared" ref="CY27" si="474">B34</f>
        <v>Turquie</v>
      </c>
      <c r="CZ27" s="45">
        <f t="shared" ref="CZ27" si="475">IF(OR(CR27=CR25,CR27=CR26,CR27=CR28),SUM(CR27,CV27/10^12,CW27/10^14),CR27)</f>
        <v>3.000003E-2</v>
      </c>
      <c r="DA27" s="45">
        <f t="shared" ref="DA27" si="476">RANK(CZ27,CZ25:CZ28)</f>
        <v>1</v>
      </c>
      <c r="DB27" s="45"/>
      <c r="DC27" s="45" t="str">
        <f t="shared" ref="DC27" si="477">B34</f>
        <v>Turquie</v>
      </c>
      <c r="DD27" s="45">
        <f t="shared" ref="DD27" si="478">SUM(G34,I30,I32)</f>
        <v>0</v>
      </c>
      <c r="DE27" s="45">
        <f t="shared" ref="DE27" si="479">SUM(H34,J30,J32)</f>
        <v>0</v>
      </c>
      <c r="DG27" s="3" t="str">
        <f t="shared" ref="DG27" si="480">B34</f>
        <v>Turquie</v>
      </c>
      <c r="DH27" s="45">
        <f t="shared" ref="DH27" si="481">IF(OR(CZ27=CZ25,CZ27=CZ26,CZ27=CZ28),SUM(CZ27,(-DD27-3*DE27)/10^15),CZ27)</f>
        <v>3.000003E-2</v>
      </c>
      <c r="DI27" s="45">
        <f t="shared" ref="DI27" si="482">RANK(DH27,DH25:DH28)</f>
        <v>1</v>
      </c>
      <c r="DK27" s="376" t="str">
        <f t="shared" ref="DK27" si="483">B34</f>
        <v>Turquie</v>
      </c>
      <c r="DL27" s="377">
        <f t="shared" ref="DL27" si="484">COUNTIF(F29:F34,B34)*3+COUNTIF(F30,"Égalité")+COUNTIF(F32,"Égalité")+COUNTIF(F34,"Égalité")</f>
        <v>0</v>
      </c>
      <c r="DM27" s="377">
        <f t="shared" si="417"/>
        <v>0.03</v>
      </c>
      <c r="DN27" s="376">
        <f t="shared" si="418"/>
        <v>3.000003E-2</v>
      </c>
      <c r="DO27" s="376">
        <f t="shared" si="419"/>
        <v>3.000003E-2</v>
      </c>
      <c r="DP27" s="401">
        <f t="shared" si="420"/>
        <v>3.000003E-2</v>
      </c>
      <c r="DQ27" s="377" t="str">
        <f t="shared" ref="DQ27" si="485">B34</f>
        <v>Turquie</v>
      </c>
    </row>
    <row r="28" spans="1:121" ht="15.75" thickBot="1" x14ac:dyDescent="0.3">
      <c r="A28" s="570"/>
      <c r="B28" s="379" t="str">
        <f>'Matchs de Qualification'!C27</f>
        <v>Pologne</v>
      </c>
      <c r="C28" s="119"/>
      <c r="D28" s="120"/>
      <c r="E28" s="355" t="str">
        <f>E25</f>
        <v>Irlande du Nord</v>
      </c>
      <c r="F28" s="514" t="str">
        <f t="shared" si="20"/>
        <v>Non joué</v>
      </c>
      <c r="G28" s="447"/>
      <c r="H28" s="448"/>
      <c r="I28" s="429"/>
      <c r="J28" s="430"/>
      <c r="K28" s="100"/>
      <c r="L28" s="97"/>
      <c r="M28" s="97"/>
      <c r="N28" s="97"/>
      <c r="O28" s="403"/>
      <c r="P28" s="97"/>
      <c r="Q28" s="97"/>
      <c r="R28" s="97"/>
      <c r="S28" s="97"/>
      <c r="T28" s="97"/>
      <c r="U28" s="97"/>
      <c r="V28" s="97"/>
      <c r="W28" s="97"/>
      <c r="X28" s="97"/>
      <c r="Y28" s="608"/>
      <c r="Z28" s="610"/>
      <c r="AA28" s="98"/>
      <c r="AB28" s="129"/>
      <c r="AC28" s="580"/>
      <c r="AD28" s="581"/>
      <c r="AE28" s="581"/>
      <c r="AF28" s="581"/>
      <c r="AG28" s="581"/>
      <c r="AH28" s="581"/>
      <c r="AI28" s="581"/>
      <c r="AJ28" s="582"/>
      <c r="AQ28" s="45" t="str">
        <f t="shared" ref="AQ28" si="486">E31</f>
        <v>Croatie</v>
      </c>
      <c r="AR28" s="45">
        <f t="shared" si="425"/>
        <v>0</v>
      </c>
      <c r="AS28" s="45">
        <f t="shared" si="459"/>
        <v>0</v>
      </c>
      <c r="AT28" s="45">
        <f t="shared" ref="AT28" si="487">D34</f>
        <v>0</v>
      </c>
      <c r="AU28" s="493"/>
      <c r="AW28" s="45" t="str">
        <f>IF(OR(VLOOKUP(E31,DK25:DL28,2,FALSE)=DL25,VLOOKUP(E31,DK25:DL28,2,FALSE)=DL26,VLOOKUP(E31,DK25:DL28,2,FALSE)=DL27),E31,"")</f>
        <v>Croatie</v>
      </c>
      <c r="AX28" s="3" t="str">
        <f>IF(AND(AW28&lt;&gt;"",AX24&lt;&gt;""),IF(VLOOKUP(AW28,DK25:DL28,2,FALSE)=VLOOKUP(AX24,DK25:DL28,2,FALSE),IF(AR28&gt;AU25,"Vainqueur",IF(AR28&lt;AU25,"Perdant","Egalité")),"Pas d'égalité"),"")</f>
        <v>Egalité</v>
      </c>
      <c r="AY28" s="3" t="str">
        <f>IF(AND(AW28&lt;&gt;"",AY24&lt;&gt;""),IF(VLOOKUP(AW28,DK25:DL28,2,FALSE)=VLOOKUP(AY24,DK25:DL28,2,FALSE),IF(AS28&gt;AU26,"Vainqueur",IF(AS28&lt;AU26,"Perdant","Egalité")),"Pas d'égalité"),"")</f>
        <v>Egalité</v>
      </c>
      <c r="AZ28" s="3" t="str">
        <f>IF(AND(AW28&lt;&gt;"",AZ24&lt;&gt;""),IF(VLOOKUP(AW28,DK25:DL28,2,FALSE)=VLOOKUP(AZ24,DK25:DL28,2,FALSE),IF(AT28&gt;AU27,"Vainqueur",IF(AT28&lt;AU27,"Perdant","Egalité")),"Pas d'égalité"),"")</f>
        <v>Egalité</v>
      </c>
      <c r="BA28" s="3"/>
      <c r="BB28" s="3"/>
      <c r="BC28" s="45" t="str">
        <f t="shared" si="375"/>
        <v>Croatie</v>
      </c>
      <c r="BD28" s="3">
        <f t="shared" si="376"/>
        <v>3</v>
      </c>
      <c r="BF28" s="45" t="str">
        <f t="shared" si="377"/>
        <v>Croatie</v>
      </c>
      <c r="BG28" s="3">
        <f t="shared" si="428"/>
        <v>0</v>
      </c>
      <c r="BH28" s="3">
        <f t="shared" si="460"/>
        <v>0</v>
      </c>
      <c r="BI28" s="3">
        <f t="shared" ref="BI28" si="488">IF(OR(AZ28="Vainqueur",AZ28="Perdant",AZ28="Egalité"),AT28,"")</f>
        <v>0</v>
      </c>
      <c r="BL28" s="45" t="str">
        <f t="shared" si="381"/>
        <v>Croatie</v>
      </c>
      <c r="BM28" s="3">
        <f t="shared" ref="BM28" si="489">IF(BL28&lt;&gt;"",SUM(BG28:BJ28)-SUM(BJ25:BJ28),"")</f>
        <v>0</v>
      </c>
      <c r="BO28" s="45" t="str">
        <f t="shared" si="430"/>
        <v>Croatie</v>
      </c>
      <c r="BP28" s="3">
        <f t="shared" si="384"/>
        <v>0</v>
      </c>
      <c r="BR28" s="3" t="str">
        <f t="shared" ref="BR28" si="490">E31</f>
        <v>Croatie</v>
      </c>
      <c r="BS28" s="45">
        <f>IF(BD28&lt;&gt;"",SUM(DL28,BD28/10^2,BM28/10^4,BP28/10^6),DL28)</f>
        <v>0.03</v>
      </c>
      <c r="BT28" s="45">
        <f t="shared" ref="BT28" si="491">RANK(BS28,BS25:BS28)</f>
        <v>1</v>
      </c>
      <c r="BV28" s="45" t="str">
        <f t="shared" ref="BV28" si="492">IF(OR(VLOOKUP(E31,BR25:BS28,2,FALSE)=BS25,VLOOKUP(E31,BR25:BS28,2,FALSE)=BS26,VLOOKUP(E31,BR25:BS28,2,FALSE)=BS27),E31,"")</f>
        <v>Croatie</v>
      </c>
      <c r="BW28" s="3" t="str">
        <f t="shared" ref="BW28" si="493">IF(AND(BV28&lt;&gt;"",BW24&lt;&gt;""),IF(VLOOKUP(BV28,BR25:BS28,2,FALSE)=VLOOKUP(BW24,BR25:BS28,2,FALSE),IF(AR28&gt;AU25,"Vainqueur",IF(AR28&lt;AU25,"Perdant","Egalité")),"Pas d'égalité"),"")</f>
        <v>Egalité</v>
      </c>
      <c r="BX28" s="3" t="str">
        <f t="shared" ref="BX28" si="494">IF(AND(BV28&lt;&gt;"",BX24&lt;&gt;""),IF(VLOOKUP(BV28,BR25:BS28,2,FALSE)=VLOOKUP(BX24,BR25:BS28,2,FALSE),IF(AS28&gt;AU26,"Vainqueur",IF(AS28&lt;AU26,"Perdant","Egalité")),"Pas d'égalité"),"")</f>
        <v>Egalité</v>
      </c>
      <c r="BY28" s="3" t="str">
        <f t="shared" ref="BY28" si="495">IF(AND(BV28&lt;&gt;"",BY24&lt;&gt;""),IF(VLOOKUP(BV28,BR25:BS28,2,FALSE)=VLOOKUP(BY24,BR25:BS28,2,FALSE),IF(AT28&gt;AU27,"Vainqueur",IF(AT28&lt;AU27,"Perdant","Egalité")),"Pas d'égalité"),"")</f>
        <v>Egalité</v>
      </c>
      <c r="BZ28" s="3"/>
      <c r="CA28" s="3"/>
      <c r="CB28" s="45" t="str">
        <f t="shared" si="391"/>
        <v>Croatie</v>
      </c>
      <c r="CC28" s="3">
        <f t="shared" si="392"/>
        <v>3</v>
      </c>
      <c r="CE28" s="45" t="str">
        <f t="shared" si="393"/>
        <v>Croatie</v>
      </c>
      <c r="CF28" s="3">
        <f t="shared" si="437"/>
        <v>0</v>
      </c>
      <c r="CG28" s="3">
        <f t="shared" si="468"/>
        <v>0</v>
      </c>
      <c r="CH28" s="3">
        <f t="shared" ref="CH28" si="496">IF(OR(BY28="Vainqueur",BY28="Perdant",BY28="Egalité"),AT28,"")</f>
        <v>0</v>
      </c>
      <c r="CK28" s="45" t="str">
        <f t="shared" si="397"/>
        <v>Croatie</v>
      </c>
      <c r="CL28" s="3">
        <f t="shared" ref="CL28" si="497">IF(CK28&lt;&gt;"",SUM(CF28:CI28)-SUM(CI25:CI28),"")</f>
        <v>0</v>
      </c>
      <c r="CN28" s="45" t="str">
        <f t="shared" si="439"/>
        <v>Croatie</v>
      </c>
      <c r="CO28" s="3">
        <f t="shared" si="400"/>
        <v>0</v>
      </c>
      <c r="CQ28" s="3" t="str">
        <f t="shared" ref="CQ28" si="498">E31</f>
        <v>Croatie</v>
      </c>
      <c r="CR28" s="45">
        <f t="shared" si="402"/>
        <v>3.000003E-2</v>
      </c>
      <c r="CS28" s="45">
        <f t="shared" ref="CS28" si="499">RANK(CR28,CR25:CR28)</f>
        <v>1</v>
      </c>
      <c r="CU28" s="3" t="str">
        <f t="shared" ref="CU28" si="500">E31</f>
        <v>Croatie</v>
      </c>
      <c r="CV28" s="3">
        <f t="shared" ref="CV28" si="501">SUM(AR28:AU28)-SUM(AU25:AU28)</f>
        <v>0</v>
      </c>
      <c r="CW28" s="3">
        <f t="shared" si="406"/>
        <v>0</v>
      </c>
      <c r="CY28" s="3" t="str">
        <f t="shared" ref="CY28" si="502">E31</f>
        <v>Croatie</v>
      </c>
      <c r="CZ28" s="45">
        <f t="shared" ref="CZ28" si="503">IF(OR(CR28=CR25,CR28=CR26,CR28=CR27),SUM(CR28,CV28/10^12,CW28/10^14),CR28)</f>
        <v>3.000003E-2</v>
      </c>
      <c r="DA28" s="45">
        <f t="shared" ref="DA28" si="504">RANK(CZ28,CZ25:CZ28)</f>
        <v>1</v>
      </c>
      <c r="DB28" s="45"/>
      <c r="DC28" s="45" t="str">
        <f t="shared" ref="DC28" si="505">E31</f>
        <v>Croatie</v>
      </c>
      <c r="DD28" s="45">
        <f t="shared" ref="DD28" si="506">SUM(I31,I33,I34)</f>
        <v>0</v>
      </c>
      <c r="DE28" s="45">
        <f t="shared" ref="DE28" si="507">SUM(J31,J33,J34)</f>
        <v>0</v>
      </c>
      <c r="DG28" s="3" t="str">
        <f t="shared" ref="DG28" si="508">E31</f>
        <v>Croatie</v>
      </c>
      <c r="DH28" s="45">
        <f>IF(OR(CZ28=CZ25,CZ28=CZ26,CZ28=CZ27),SUM(CZ28,(-DD28-3*DE28)/10^15),CZ28)</f>
        <v>3.000003E-2</v>
      </c>
      <c r="DI28" s="45">
        <f t="shared" ref="DI28" si="509">RANK(DH28,DH25:DH28)</f>
        <v>1</v>
      </c>
      <c r="DK28" s="377" t="str">
        <f t="shared" ref="DK28" si="510">E31</f>
        <v>Croatie</v>
      </c>
      <c r="DL28" s="494">
        <f t="shared" ref="DL28" si="511">COUNTIF(F29:F34,E31)*3+COUNTIF(F31,"Égalité")+COUNTIF(F33:F34,"Égalité")</f>
        <v>0</v>
      </c>
      <c r="DM28" s="377">
        <f t="shared" si="417"/>
        <v>0.03</v>
      </c>
      <c r="DN28" s="376">
        <f t="shared" si="418"/>
        <v>3.000003E-2</v>
      </c>
      <c r="DO28" s="376">
        <f t="shared" si="419"/>
        <v>3.000003E-2</v>
      </c>
      <c r="DP28" s="401">
        <f t="shared" si="420"/>
        <v>3.000003E-2</v>
      </c>
      <c r="DQ28" s="377" t="str">
        <f t="shared" ref="DQ28" si="512">E31</f>
        <v>Croatie</v>
      </c>
    </row>
    <row r="29" spans="1:121" ht="15.75" thickBot="1" x14ac:dyDescent="0.3">
      <c r="A29" s="641" t="s">
        <v>119</v>
      </c>
      <c r="B29" s="312" t="str">
        <f>'Matchs de Qualification'!C21</f>
        <v>Espagne</v>
      </c>
      <c r="C29" s="121"/>
      <c r="D29" s="122"/>
      <c r="E29" s="356" t="str">
        <f>B32</f>
        <v>R. tchèque</v>
      </c>
      <c r="F29" s="515" t="str">
        <f t="shared" si="20"/>
        <v>Non joué</v>
      </c>
      <c r="G29" s="451"/>
      <c r="H29" s="452"/>
      <c r="I29" s="433"/>
      <c r="J29" s="434"/>
      <c r="K29" s="100"/>
      <c r="L29" s="206" t="s">
        <v>115</v>
      </c>
      <c r="M29" s="370" t="s">
        <v>86</v>
      </c>
      <c r="N29" s="154" t="s">
        <v>94</v>
      </c>
      <c r="O29" s="403"/>
      <c r="P29" s="97"/>
      <c r="Q29" s="97"/>
      <c r="R29" s="97"/>
      <c r="S29" s="97"/>
      <c r="T29" s="97"/>
      <c r="U29" s="97"/>
      <c r="V29" s="97"/>
      <c r="W29" s="97"/>
      <c r="X29" s="97"/>
      <c r="Y29" s="608" t="str">
        <f>IF(W39&lt;&gt;W41,IF(W39&gt;W41,V39,V41),"")</f>
        <v/>
      </c>
      <c r="Z29" s="610"/>
      <c r="AA29" s="98"/>
      <c r="AB29" s="129"/>
      <c r="AC29" s="583"/>
      <c r="AD29" s="584"/>
      <c r="AE29" s="584"/>
      <c r="AF29" s="584"/>
      <c r="AG29" s="584"/>
      <c r="AH29" s="584"/>
      <c r="AI29" s="584"/>
      <c r="AJ29" s="585"/>
      <c r="AQ29" s="45"/>
      <c r="AR29" s="45"/>
      <c r="AS29" s="45"/>
      <c r="AY29" s="3"/>
      <c r="AZ29" s="3"/>
      <c r="BA29" s="3"/>
      <c r="BB29" s="3"/>
      <c r="BC29" s="3"/>
      <c r="BD29" s="3"/>
      <c r="BF29" s="3"/>
      <c r="BG29" s="3"/>
      <c r="BS29" s="45"/>
      <c r="BT29" s="45"/>
      <c r="BX29" s="3"/>
      <c r="BY29" s="3"/>
      <c r="BZ29" s="3"/>
      <c r="CA29" s="3"/>
      <c r="CB29" s="3"/>
      <c r="CC29" s="3"/>
      <c r="CE29" s="3"/>
      <c r="CF29" s="3"/>
      <c r="CR29" s="45"/>
      <c r="CS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</row>
    <row r="30" spans="1:121" ht="15.75" thickBot="1" x14ac:dyDescent="0.3">
      <c r="A30" s="642"/>
      <c r="B30" s="313" t="str">
        <f>B29</f>
        <v>Espagne</v>
      </c>
      <c r="C30" s="123"/>
      <c r="D30" s="124"/>
      <c r="E30" s="357" t="str">
        <f>B34</f>
        <v>Turquie</v>
      </c>
      <c r="F30" s="516" t="str">
        <f t="shared" si="20"/>
        <v>Non joué</v>
      </c>
      <c r="G30" s="451"/>
      <c r="H30" s="452"/>
      <c r="I30" s="433"/>
      <c r="J30" s="434"/>
      <c r="K30" s="100"/>
      <c r="L30" s="126">
        <v>1</v>
      </c>
      <c r="M30" s="338" t="str">
        <f>IF(COUNT(C29:D34)&lt;&gt;0,VLOOKUP(MAX(DP25:DP28),DP25:DQ28,2,FALSE),"")</f>
        <v/>
      </c>
      <c r="N30" s="389">
        <f t="shared" ref="N30" si="513">IF(M30&lt;&gt;"",VLOOKUP(M30,DK25:DL28,2,FALSE),0)</f>
        <v>0</v>
      </c>
      <c r="O30" s="403" t="s">
        <v>176</v>
      </c>
      <c r="P30" s="612" t="str">
        <f>M24</f>
        <v/>
      </c>
      <c r="Q30" s="613"/>
      <c r="R30" s="97"/>
      <c r="S30" s="97"/>
      <c r="T30" s="97"/>
      <c r="U30" s="97"/>
      <c r="V30" s="97"/>
      <c r="W30" s="97"/>
      <c r="X30" s="97"/>
      <c r="Y30" s="609"/>
      <c r="Z30" s="611"/>
      <c r="AA30" s="98"/>
      <c r="AB30" s="129"/>
      <c r="AQ30" s="45"/>
      <c r="AR30" s="45" t="str">
        <f t="shared" ref="AR30" si="514">AQ31</f>
        <v>Belgique</v>
      </c>
      <c r="AS30" s="3" t="str">
        <f t="shared" ref="AS30" si="515">AQ32</f>
        <v>Italie</v>
      </c>
      <c r="AT30" s="3" t="str">
        <f t="shared" ref="AT30" si="516">AQ33</f>
        <v>Irlande</v>
      </c>
      <c r="AU30" s="3" t="str">
        <f t="shared" ref="AU30" si="517">AQ34</f>
        <v>Suède</v>
      </c>
      <c r="AX30" s="45" t="str">
        <f t="shared" ref="AX30" si="518">AW31</f>
        <v>Belgique</v>
      </c>
      <c r="AY30" s="3" t="str">
        <f t="shared" ref="AY30" si="519">AW32</f>
        <v>Italie</v>
      </c>
      <c r="AZ30" s="3" t="str">
        <f t="shared" ref="AZ30" si="520">AW33</f>
        <v>Irlande</v>
      </c>
      <c r="BA30" s="3" t="str">
        <f t="shared" ref="BA30" si="521">AW34</f>
        <v>Suède</v>
      </c>
      <c r="BB30" s="3"/>
      <c r="BG30" s="45" t="str">
        <f t="shared" ref="BG30" si="522">BF31</f>
        <v>Belgique</v>
      </c>
      <c r="BH30" s="3" t="str">
        <f t="shared" ref="BH30" si="523">BF32</f>
        <v>Italie</v>
      </c>
      <c r="BI30" s="3" t="str">
        <f t="shared" ref="BI30" si="524">BF33</f>
        <v>Irlande</v>
      </c>
      <c r="BJ30" s="3" t="str">
        <f t="shared" ref="BJ30" si="525">BF34</f>
        <v>Suède</v>
      </c>
      <c r="BL30" s="45"/>
      <c r="BM30" s="45"/>
      <c r="BO30" s="45"/>
      <c r="BP30" s="45"/>
      <c r="BQ30" s="45"/>
      <c r="BR30" s="45"/>
      <c r="BS30" s="45" t="s">
        <v>188</v>
      </c>
      <c r="BT30" s="45" t="s">
        <v>115</v>
      </c>
      <c r="BU30" s="45"/>
      <c r="BW30" s="45" t="str">
        <f t="shared" ref="BW30" si="526">BV31</f>
        <v>Belgique</v>
      </c>
      <c r="BX30" s="3" t="str">
        <f t="shared" ref="BX30" si="527">BV32</f>
        <v>Italie</v>
      </c>
      <c r="BY30" s="3" t="str">
        <f t="shared" ref="BY30" si="528">BV33</f>
        <v>Irlande</v>
      </c>
      <c r="BZ30" s="3" t="str">
        <f t="shared" ref="BZ30" si="529">BV34</f>
        <v>Suède</v>
      </c>
      <c r="CA30" s="3"/>
      <c r="CF30" s="45" t="str">
        <f t="shared" ref="CF30" si="530">CE31</f>
        <v>Belgique</v>
      </c>
      <c r="CG30" s="3" t="str">
        <f t="shared" ref="CG30" si="531">CE32</f>
        <v>Italie</v>
      </c>
      <c r="CH30" s="3" t="str">
        <f t="shared" ref="CH30" si="532">CE33</f>
        <v>Irlande</v>
      </c>
      <c r="CI30" s="3" t="str">
        <f t="shared" ref="CI30" si="533">CE34</f>
        <v>Suède</v>
      </c>
      <c r="CK30" s="45"/>
      <c r="CL30" s="45"/>
      <c r="CN30" s="45"/>
      <c r="CO30" s="45"/>
      <c r="CP30" s="45"/>
      <c r="CQ30" s="45"/>
      <c r="CR30" s="45" t="s">
        <v>188</v>
      </c>
      <c r="CS30" s="45" t="s">
        <v>115</v>
      </c>
      <c r="CT30" s="45"/>
      <c r="CV30" s="45"/>
      <c r="CW30" s="45"/>
      <c r="CY30" s="45"/>
      <c r="CZ30" s="45" t="s">
        <v>188</v>
      </c>
      <c r="DA30" s="45" t="s">
        <v>115</v>
      </c>
      <c r="DB30" s="45"/>
      <c r="DG30" s="45"/>
      <c r="DH30" s="45" t="s">
        <v>188</v>
      </c>
      <c r="DI30" s="45" t="s">
        <v>115</v>
      </c>
      <c r="DK30" s="376" t="s">
        <v>86</v>
      </c>
      <c r="DL30" s="377" t="s">
        <v>94</v>
      </c>
      <c r="DM30" s="377" t="s">
        <v>205</v>
      </c>
      <c r="DN30" s="377" t="s">
        <v>206</v>
      </c>
      <c r="DO30" s="377" t="s">
        <v>200</v>
      </c>
      <c r="DP30" s="376" t="s">
        <v>116</v>
      </c>
      <c r="DQ30" s="377" t="s">
        <v>86</v>
      </c>
    </row>
    <row r="31" spans="1:121" ht="15.75" thickBot="1" x14ac:dyDescent="0.3">
      <c r="A31" s="642"/>
      <c r="B31" s="313" t="str">
        <f>B29</f>
        <v>Espagne</v>
      </c>
      <c r="C31" s="123"/>
      <c r="D31" s="124"/>
      <c r="E31" s="357" t="str">
        <f>'Matchs de Qualification'!L21</f>
        <v>Croatie</v>
      </c>
      <c r="F31" s="516" t="str">
        <f t="shared" si="20"/>
        <v>Non joué</v>
      </c>
      <c r="G31" s="451"/>
      <c r="H31" s="452"/>
      <c r="I31" s="433"/>
      <c r="J31" s="434"/>
      <c r="K31" s="100"/>
      <c r="L31" s="127">
        <v>2</v>
      </c>
      <c r="M31" s="339" t="str">
        <f>IF(COUNT(C29:D34)&lt;&gt;0,VLOOKUP(LARGE(DP25:DP28,2),DP25:DQ28,2,FALSE),"")</f>
        <v/>
      </c>
      <c r="N31" s="390">
        <f t="shared" ref="N31" si="534">IF(M31&lt;&gt;"",VLOOKUP(M31,DK25:DL28,2,FALSE),0)</f>
        <v>0</v>
      </c>
      <c r="O31" s="403"/>
      <c r="P31" s="608"/>
      <c r="Q31" s="610"/>
      <c r="R31" s="97"/>
      <c r="S31" s="97"/>
      <c r="T31" s="97"/>
      <c r="U31" s="97"/>
      <c r="V31" s="97"/>
      <c r="W31" s="97"/>
      <c r="X31" s="97"/>
      <c r="Y31" s="97"/>
      <c r="Z31" s="97"/>
      <c r="AA31" s="98"/>
      <c r="AQ31" s="45" t="str">
        <f t="shared" ref="AQ31" si="535">B35</f>
        <v>Belgique</v>
      </c>
      <c r="AR31" s="493"/>
      <c r="AS31" s="45">
        <f t="shared" ref="AS31" si="536">C35</f>
        <v>0</v>
      </c>
      <c r="AT31" s="45">
        <f t="shared" ref="AT31" si="537">C36</f>
        <v>0</v>
      </c>
      <c r="AU31" s="45">
        <f t="shared" ref="AU31" si="538">C37</f>
        <v>0</v>
      </c>
      <c r="AW31" s="45" t="str">
        <f>IF(OR(VLOOKUP(B35,DK31:DL34,2,FALSE)=DL32,VLOOKUP(B35,DK31:DL34,2,FALSE)=DL33,VLOOKUP(B35,DK31:DL34,2,FALSE)=DL34),B35,"")</f>
        <v>Belgique</v>
      </c>
      <c r="AX31" s="3"/>
      <c r="AY31" s="3" t="str">
        <f>IF(AND(AW31&lt;&gt;"",AY30&lt;&gt;""),IF(VLOOKUP(AW31,DK31:DL34,2,FALSE)=VLOOKUP(AY30,DK31:DL34,2,FALSE),IF(AS31&gt;AR32,"Vainqueur",IF(AS31&lt;AR32,"Perdant","Egalité")),"Pas d'égalité"),"")</f>
        <v>Egalité</v>
      </c>
      <c r="AZ31" s="3" t="str">
        <f>IF(AND(AW31&lt;&gt;"",AZ30&lt;&gt;""),IF(VLOOKUP(AW31,DK31:DL34,2,FALSE)=VLOOKUP(AZ30,DK31:DL34,2,FALSE),IF(AT31&gt;AR33,"Vainqueur",IF(AT31&lt;AR33,"Perdant","Egalité")),"Pas d'égalité"),"")</f>
        <v>Egalité</v>
      </c>
      <c r="BA31" s="3" t="str">
        <f>IF(AND(AW31&lt;&gt;"",BA30&lt;&gt;""),IF(VLOOKUP(AW31,DK31:DL34,2,FALSE)=VLOOKUP(BA30,DK31:DL34,2,FALSE),IF(AU31&gt;AR34,"Vainqueur",IF(AU31&lt;AR34,"Perdant","Egalité")),"Pas d'égalité"),"")</f>
        <v>Egalité</v>
      </c>
      <c r="BB31" s="3"/>
      <c r="BC31" s="45" t="str">
        <f t="shared" ref="BC31:BC34" si="539">AW31</f>
        <v>Belgique</v>
      </c>
      <c r="BD31" s="3">
        <f t="shared" ref="BD31:BD34" si="540">IF(BC31&lt;&gt;"",3*COUNTIF(AX31:BA31,"Vainqueur")+COUNTIF(AX31:BA31,"Egalité"),"")</f>
        <v>3</v>
      </c>
      <c r="BF31" s="45" t="str">
        <f t="shared" ref="BF31:BF34" si="541">AW31</f>
        <v>Belgique</v>
      </c>
      <c r="BG31" s="3"/>
      <c r="BH31" s="3">
        <f t="shared" ref="BH31" si="542">IF(OR(AY31="Vainqueur",AY31="Perdant",AY31="Egalité"),AS31,"")</f>
        <v>0</v>
      </c>
      <c r="BI31" s="3">
        <f t="shared" ref="BI31:BI32" si="543">IF(OR(AZ31="Vainqueur",AZ31="Perdant",AZ31="Egalité"),AT31,"")</f>
        <v>0</v>
      </c>
      <c r="BJ31" s="3">
        <f t="shared" ref="BJ31:BJ33" si="544">IF(OR(BA31="Vainqueur",BA31="Perdant",BA31="Egalité"),AU31,"")</f>
        <v>0</v>
      </c>
      <c r="BL31" s="45" t="str">
        <f t="shared" ref="BL31:BL34" si="545">AW31</f>
        <v>Belgique</v>
      </c>
      <c r="BM31" s="3">
        <f t="shared" ref="BM31" si="546">IF(BL31&lt;&gt;"",SUM(BG31:BJ31)-SUM(BG31:BG34),"")</f>
        <v>0</v>
      </c>
      <c r="BO31" s="45" t="str">
        <f t="shared" ref="BO31" si="547">BF31</f>
        <v>Belgique</v>
      </c>
      <c r="BP31" s="3">
        <f t="shared" ref="BP31:BP34" si="548">IF(BO31&lt;&gt;"",SUM(BG31:BJ31),"")</f>
        <v>0</v>
      </c>
      <c r="BR31" s="3" t="str">
        <f t="shared" ref="BR31" si="549">B35</f>
        <v>Belgique</v>
      </c>
      <c r="BS31" s="45">
        <f>IF(BD31&lt;&gt;"",SUM(DL31,BD31/10^2,BM31/10^4,BP31/10^6),DL31)</f>
        <v>0.03</v>
      </c>
      <c r="BT31" s="45">
        <f t="shared" ref="BT31" si="550">RANK(BS31,BS31:BS34)</f>
        <v>1</v>
      </c>
      <c r="BV31" s="45" t="str">
        <f t="shared" ref="BV31" si="551">IF(OR(VLOOKUP(B35,BR31:BS34,2,FALSE)=BS32,VLOOKUP(B35,BR31:BS34,2,FALSE)=BS33,VLOOKUP(B35,BR31:BS34,2,FALSE)=BS34),B35,"")</f>
        <v>Belgique</v>
      </c>
      <c r="BW31" s="3"/>
      <c r="BX31" s="3" t="str">
        <f t="shared" ref="BX31" si="552">IF(AND(BV31&lt;&gt;"",BX30&lt;&gt;""),IF(VLOOKUP(BV31,BR31:BS34,2,FALSE)=VLOOKUP(BX30,BR31:BS34,2,FALSE),IF(AS31&gt;AR32,"Vainqueur",IF(AS31&lt;AR32,"Perdant","Egalité")),"Pas d'égalité"),"")</f>
        <v>Egalité</v>
      </c>
      <c r="BY31" s="3" t="str">
        <f t="shared" ref="BY31" si="553">IF(AND(BV31&lt;&gt;"",BY30&lt;&gt;""),IF(VLOOKUP(BV31,BR31:BS34,2,FALSE)=VLOOKUP(BY30,BR31:BS34,2,FALSE),IF(AT31&gt;AR33,"Vainqueur",IF(AT31&lt;AR33,"Perdant","Egalité")),"Pas d'égalité"),"")</f>
        <v>Egalité</v>
      </c>
      <c r="BZ31" s="3" t="str">
        <f t="shared" ref="BZ31" si="554">IF(AND(BV31&lt;&gt;"",BZ30&lt;&gt;""),IF(VLOOKUP(BV31,BR31:BS34,2,FALSE)=VLOOKUP(BZ30,BR31:BS34,2,FALSE),IF(AU31&gt;AR34,"Vainqueur",IF(AU31&lt;AR34,"Perdant","Egalité")),"Pas d'égalité"),"")</f>
        <v>Egalité</v>
      </c>
      <c r="CA31" s="3"/>
      <c r="CB31" s="45" t="str">
        <f t="shared" ref="CB31:CB34" si="555">BV31</f>
        <v>Belgique</v>
      </c>
      <c r="CC31" s="3">
        <f t="shared" ref="CC31:CC34" si="556">IF(CB31&lt;&gt;"",3*COUNTIF(BW31:BZ31,"Vainqueur")+COUNTIF(BW31:BZ31,"Egalité"),"")</f>
        <v>3</v>
      </c>
      <c r="CE31" s="45" t="str">
        <f t="shared" ref="CE31:CE34" si="557">BV31</f>
        <v>Belgique</v>
      </c>
      <c r="CF31" s="3"/>
      <c r="CG31" s="3">
        <f t="shared" ref="CG31" si="558">IF(OR(BX31="Vainqueur",BX31="Perdant",BX31="Egalité"),AS31,"")</f>
        <v>0</v>
      </c>
      <c r="CH31" s="3">
        <f t="shared" ref="CH31:CH32" si="559">IF(OR(BY31="Vainqueur",BY31="Perdant",BY31="Egalité"),AT31,"")</f>
        <v>0</v>
      </c>
      <c r="CI31" s="3">
        <f t="shared" ref="CI31:CI33" si="560">IF(OR(BZ31="Vainqueur",BZ31="Perdant",BZ31="Egalité"),AU31,"")</f>
        <v>0</v>
      </c>
      <c r="CK31" s="45" t="str">
        <f t="shared" ref="CK31:CK34" si="561">BV31</f>
        <v>Belgique</v>
      </c>
      <c r="CL31" s="3">
        <f t="shared" ref="CL31" si="562">IF(CK31&lt;&gt;"",SUM(CF31:CI31)-SUM(CF31:CF34),"")</f>
        <v>0</v>
      </c>
      <c r="CN31" s="45" t="str">
        <f t="shared" ref="CN31" si="563">CE31</f>
        <v>Belgique</v>
      </c>
      <c r="CO31" s="3">
        <f t="shared" ref="CO31:CO34" si="564">IF(CN31&lt;&gt;"",SUM(CF31:CI31),"")</f>
        <v>0</v>
      </c>
      <c r="CQ31" s="3" t="str">
        <f t="shared" ref="CQ31" si="565">B35</f>
        <v>Belgique</v>
      </c>
      <c r="CR31" s="45">
        <f t="shared" ref="CR31:CR34" si="566">IF(CC31&lt;&gt;"",SUM(BS31,CC31/10^8,CL31/10^9,CO31/10^10),BS31)</f>
        <v>3.000003E-2</v>
      </c>
      <c r="CS31" s="45">
        <f t="shared" ref="CS31" si="567">RANK(CR31,CR31:CR34)</f>
        <v>1</v>
      </c>
      <c r="CU31" s="3" t="str">
        <f t="shared" ref="CU31" si="568">B35</f>
        <v>Belgique</v>
      </c>
      <c r="CV31" s="3">
        <f t="shared" ref="CV31" si="569">SUM(AR31:AU31)-SUM(AR31:AR34)</f>
        <v>0</v>
      </c>
      <c r="CW31" s="3">
        <f t="shared" ref="CW31:CW34" si="570">SUM(AR31:AU31)</f>
        <v>0</v>
      </c>
      <c r="CY31" s="3" t="str">
        <f t="shared" ref="CY31" si="571">B35</f>
        <v>Belgique</v>
      </c>
      <c r="CZ31" s="45">
        <f t="shared" ref="CZ31" si="572">IF(OR(CR31=CR32,CR31=CR33,CR31=CR34),SUM(CR31,CV31/10^12,CW31/10^14),CR31)</f>
        <v>3.000003E-2</v>
      </c>
      <c r="DA31" s="45">
        <f t="shared" ref="DA31" si="573">RANK(CZ31,CZ31:CZ34)</f>
        <v>1</v>
      </c>
      <c r="DB31" s="45"/>
      <c r="DC31" s="45" t="str">
        <f t="shared" ref="DC31" si="574">B35</f>
        <v>Belgique</v>
      </c>
      <c r="DD31" s="45">
        <f t="shared" ref="DD31:DE31" si="575">SUM(G35,G36,G37)</f>
        <v>0</v>
      </c>
      <c r="DE31" s="45">
        <f t="shared" si="575"/>
        <v>0</v>
      </c>
      <c r="DG31" s="3" t="str">
        <f t="shared" ref="DG31" si="576">B35</f>
        <v>Belgique</v>
      </c>
      <c r="DH31" s="45">
        <f t="shared" ref="DH31" si="577">IF(OR(CZ31=CZ32,CZ31=CZ33,CZ31=CZ34),SUM(CZ31,(-DD31-3*DE31)/10^15),CZ31)</f>
        <v>3.000003E-2</v>
      </c>
      <c r="DI31" s="45">
        <f t="shared" ref="DI31" si="578">RANK(DH31,DH31:DH34)</f>
        <v>1</v>
      </c>
      <c r="DK31" s="376" t="str">
        <f t="shared" ref="DK31" si="579">B35</f>
        <v>Belgique</v>
      </c>
      <c r="DL31" s="377">
        <f t="shared" ref="DL31" si="580">COUNTIF(F35:F40,B35)*3+COUNTIF(F35:F37,"Égalité")</f>
        <v>0</v>
      </c>
      <c r="DM31" s="377">
        <f t="shared" ref="DM31:DM34" si="581">BS31</f>
        <v>0.03</v>
      </c>
      <c r="DN31" s="376">
        <f t="shared" ref="DN31:DN34" si="582">CR31</f>
        <v>3.000003E-2</v>
      </c>
      <c r="DO31" s="376">
        <f t="shared" ref="DO31:DO34" si="583">CZ31</f>
        <v>3.000003E-2</v>
      </c>
      <c r="DP31" s="401">
        <f t="shared" ref="DP31:DP34" si="584">DH31</f>
        <v>3.000003E-2</v>
      </c>
      <c r="DQ31" s="377" t="str">
        <f t="shared" ref="DQ31" si="585">B35</f>
        <v>Belgique</v>
      </c>
    </row>
    <row r="32" spans="1:121" ht="15.75" customHeight="1" thickBot="1" x14ac:dyDescent="0.3">
      <c r="A32" s="642"/>
      <c r="B32" s="313" t="str">
        <f>'Matchs de Qualification'!C6</f>
        <v>R. tchèque</v>
      </c>
      <c r="C32" s="123"/>
      <c r="D32" s="124"/>
      <c r="E32" s="357" t="str">
        <f>B34</f>
        <v>Turquie</v>
      </c>
      <c r="F32" s="516" t="str">
        <f t="shared" si="20"/>
        <v>Non joué</v>
      </c>
      <c r="G32" s="451"/>
      <c r="H32" s="452"/>
      <c r="I32" s="433"/>
      <c r="J32" s="434"/>
      <c r="K32" s="100"/>
      <c r="L32" s="125">
        <v>3</v>
      </c>
      <c r="M32" s="340" t="str">
        <f>IF(COUNT(C29:D34)&lt;&gt;0,VLOOKUP(LARGE(DP25:DP28,3),DP25:DQ28,2,FALSE),"")</f>
        <v/>
      </c>
      <c r="N32" s="391">
        <f t="shared" ref="N32" si="586">IF(M32&lt;&gt;"",VLOOKUP(M32,DK25:DL28,2,FALSE),0)</f>
        <v>0</v>
      </c>
      <c r="O32" s="403"/>
      <c r="P32" s="608" t="str">
        <f>AV64</f>
        <v/>
      </c>
      <c r="Q32" s="610"/>
      <c r="R32" s="97"/>
      <c r="S32" s="97"/>
      <c r="T32" s="97"/>
      <c r="U32" s="97"/>
      <c r="V32" s="97"/>
      <c r="W32" s="97"/>
      <c r="X32" s="97"/>
      <c r="Y32" s="97"/>
      <c r="Z32" s="97"/>
      <c r="AA32" s="98"/>
      <c r="AC32" s="577" t="s">
        <v>189</v>
      </c>
      <c r="AD32" s="578"/>
      <c r="AE32" s="578"/>
      <c r="AF32" s="578"/>
      <c r="AG32" s="578"/>
      <c r="AH32" s="578"/>
      <c r="AI32" s="578"/>
      <c r="AJ32" s="579"/>
      <c r="AQ32" s="45" t="str">
        <f t="shared" ref="AQ32" si="587">B38</f>
        <v>Italie</v>
      </c>
      <c r="AR32" s="45">
        <f t="shared" ref="AR32:AR34" si="588">D35</f>
        <v>0</v>
      </c>
      <c r="AS32" s="493"/>
      <c r="AT32" s="45">
        <f t="shared" ref="AT32" si="589">C38</f>
        <v>0</v>
      </c>
      <c r="AU32" s="45">
        <f t="shared" ref="AU32:AU33" si="590">C39</f>
        <v>0</v>
      </c>
      <c r="AW32" s="45" t="str">
        <f>IF(OR(VLOOKUP(B38,DK31:DL34,2,FALSE)=DL31,VLOOKUP(B38,DK31:DL34,2,FALSE)=DL33,VLOOKUP(B38,DK31:DL34,2,FALSE)=DL34),B38,"")</f>
        <v>Italie</v>
      </c>
      <c r="AX32" s="3" t="str">
        <f>IF(AND(AW32&lt;&gt;"",AX30&lt;&gt;""),IF(VLOOKUP(AW32,DK31:DL34,2,FALSE)=VLOOKUP(AX30,DK31:DL34,2,FALSE),IF(AR32&gt;AS31,"Vainqueur",IF(AR32&lt;AS31,"Perdant","Egalité")),"Pas d'égalité"),"")</f>
        <v>Egalité</v>
      </c>
      <c r="AY32" s="3"/>
      <c r="AZ32" s="3" t="str">
        <f>IF(AND(AW32&lt;&gt;"",AZ30&lt;&gt;""),IF(VLOOKUP(AW32,DK31:DL34,2,FALSE)=VLOOKUP(AZ30,DK31:DL34,2,FALSE),IF(AT32&gt;AS33,"Vainqueur",IF(AT32&lt;AS33,"Perdant","Egalité")),"Pas d'égalité"),"")</f>
        <v>Egalité</v>
      </c>
      <c r="BA32" s="3" t="str">
        <f>IF(AND(AW32&lt;&gt;"",BA30&lt;&gt;""),IF(VLOOKUP(AW32,DK31:DL34,2,FALSE)=VLOOKUP(BA30,DK31:DL34,2,FALSE),IF(AU32&gt;AS34,"Vainqueur",IF(AU32&lt;AS34,"Perdant","Egalité")),"Pas d'égalité"),"")</f>
        <v>Egalité</v>
      </c>
      <c r="BB32" s="3"/>
      <c r="BC32" s="45" t="str">
        <f t="shared" si="539"/>
        <v>Italie</v>
      </c>
      <c r="BD32" s="3">
        <f t="shared" si="540"/>
        <v>3</v>
      </c>
      <c r="BF32" s="45" t="str">
        <f t="shared" si="541"/>
        <v>Italie</v>
      </c>
      <c r="BG32" s="3">
        <f t="shared" ref="BG32:BG34" si="591">IF(OR(AX32="Vainqueur",AX32="Perdant",AX32="Egalité"),AR32,"")</f>
        <v>0</v>
      </c>
      <c r="BI32" s="3">
        <f t="shared" si="543"/>
        <v>0</v>
      </c>
      <c r="BJ32" s="3">
        <f t="shared" si="544"/>
        <v>0</v>
      </c>
      <c r="BL32" s="45" t="str">
        <f t="shared" si="545"/>
        <v>Italie</v>
      </c>
      <c r="BM32" s="3">
        <f t="shared" ref="BM32" si="592">IF(BL32&lt;&gt;"",SUM(BG32:BJ32)-SUM(BH31:BH34),"")</f>
        <v>0</v>
      </c>
      <c r="BO32" s="45" t="str">
        <f t="shared" ref="BO32:BO34" si="593">AW32</f>
        <v>Italie</v>
      </c>
      <c r="BP32" s="3">
        <f t="shared" si="548"/>
        <v>0</v>
      </c>
      <c r="BR32" s="3" t="str">
        <f t="shared" ref="BR32" si="594">B38</f>
        <v>Italie</v>
      </c>
      <c r="BS32" s="45">
        <f>IF(BD32&lt;&gt;"",SUM(DL32,BD32/10^2,BM32/10^4,BP32/10^6),DL32)</f>
        <v>0.03</v>
      </c>
      <c r="BT32" s="45">
        <f t="shared" ref="BT32" si="595">RANK(BS32,BS31:BS34)</f>
        <v>1</v>
      </c>
      <c r="BV32" s="45" t="str">
        <f t="shared" ref="BV32" si="596">IF(OR(VLOOKUP(B38,BR31:BS34,2,FALSE)=BS31,VLOOKUP(B38,BR31:BS34,2,FALSE)=BS33,VLOOKUP(B38,BR31:BS34,2,FALSE)=BS34),B38,"")</f>
        <v>Italie</v>
      </c>
      <c r="BW32" s="3" t="str">
        <f t="shared" ref="BW32" si="597">IF(AND(BV32&lt;&gt;"",BW30&lt;&gt;""),IF(VLOOKUP(BV32,BR31:BS34,2,FALSE)=VLOOKUP(BW30,BR31:BS34,2,FALSE),IF(AR32&gt;AS31,"Vainqueur",IF(AR32&lt;AS31,"Perdant","Egalité")),"Pas d'égalité"),"")</f>
        <v>Egalité</v>
      </c>
      <c r="BX32" s="3"/>
      <c r="BY32" s="3" t="str">
        <f t="shared" ref="BY32" si="598">IF(AND(BV32&lt;&gt;"",BY30&lt;&gt;""),IF(VLOOKUP(BV32,BR31:BS34,2,FALSE)=VLOOKUP(BY30,BR31:BS34,2,FALSE),IF(AT32&gt;AS33,"Vainqueur",IF(AT32&lt;AS33,"Perdant","Egalité")),"Pas d'égalité"),"")</f>
        <v>Egalité</v>
      </c>
      <c r="BZ32" s="3" t="str">
        <f t="shared" ref="BZ32" si="599">IF(AND(BV32&lt;&gt;"",BZ30&lt;&gt;""),IF(VLOOKUP(BV32,BR31:BS34,2,FALSE)=VLOOKUP(BZ30,BR31:BS34,2,FALSE),IF(AU32&gt;AS34,"Vainqueur",IF(AU32&lt;AS34,"Perdant","Egalité")),"Pas d'égalité"),"")</f>
        <v>Egalité</v>
      </c>
      <c r="CA32" s="3"/>
      <c r="CB32" s="45" t="str">
        <f t="shared" si="555"/>
        <v>Italie</v>
      </c>
      <c r="CC32" s="3">
        <f t="shared" si="556"/>
        <v>3</v>
      </c>
      <c r="CE32" s="45" t="str">
        <f t="shared" si="557"/>
        <v>Italie</v>
      </c>
      <c r="CF32" s="3">
        <f t="shared" ref="CF32:CF34" si="600">IF(OR(BW32="Vainqueur",BW32="Perdant",BW32="Egalité"),AR32,"")</f>
        <v>0</v>
      </c>
      <c r="CH32" s="3">
        <f t="shared" si="559"/>
        <v>0</v>
      </c>
      <c r="CI32" s="3">
        <f t="shared" si="560"/>
        <v>0</v>
      </c>
      <c r="CK32" s="45" t="str">
        <f t="shared" si="561"/>
        <v>Italie</v>
      </c>
      <c r="CL32" s="3">
        <f t="shared" ref="CL32" si="601">IF(CK32&lt;&gt;"",SUM(CF32:CI32)-SUM(CG31:CG34),"")</f>
        <v>0</v>
      </c>
      <c r="CN32" s="45" t="str">
        <f t="shared" ref="CN32:CN34" si="602">BV32</f>
        <v>Italie</v>
      </c>
      <c r="CO32" s="3">
        <f t="shared" si="564"/>
        <v>0</v>
      </c>
      <c r="CQ32" s="3" t="str">
        <f t="shared" ref="CQ32" si="603">B38</f>
        <v>Italie</v>
      </c>
      <c r="CR32" s="45">
        <f t="shared" si="566"/>
        <v>3.000003E-2</v>
      </c>
      <c r="CS32" s="45">
        <f t="shared" ref="CS32" si="604">RANK(CR32,CR31:CR34)</f>
        <v>1</v>
      </c>
      <c r="CU32" s="3" t="str">
        <f t="shared" ref="CU32" si="605">B38</f>
        <v>Italie</v>
      </c>
      <c r="CV32" s="3">
        <f t="shared" ref="CV32" si="606">SUM(AR32:AU32)-SUM(AS31:AS34)</f>
        <v>0</v>
      </c>
      <c r="CW32" s="3">
        <f t="shared" si="570"/>
        <v>0</v>
      </c>
      <c r="CY32" s="3" t="str">
        <f t="shared" ref="CY32" si="607">B38</f>
        <v>Italie</v>
      </c>
      <c r="CZ32" s="45">
        <f t="shared" ref="CZ32" si="608">IF(OR(CR32=CR31,CR32=CR33,CR32=CR34),SUM(CR32,CV32/10^12,CW32/10^14),CR32)</f>
        <v>3.000003E-2</v>
      </c>
      <c r="DA32" s="45">
        <f t="shared" ref="DA32" si="609">RANK(CZ32,CZ31:CZ34)</f>
        <v>1</v>
      </c>
      <c r="DB32" s="45"/>
      <c r="DC32" s="45" t="str">
        <f t="shared" ref="DC32" si="610">B38</f>
        <v>Italie</v>
      </c>
      <c r="DD32" s="45">
        <f t="shared" ref="DD32:DE32" si="611">SUM(G38,G39,I35)</f>
        <v>0</v>
      </c>
      <c r="DE32" s="45">
        <f t="shared" si="611"/>
        <v>0</v>
      </c>
      <c r="DG32" s="3" t="str">
        <f t="shared" ref="DG32" si="612">B38</f>
        <v>Italie</v>
      </c>
      <c r="DH32" s="45">
        <f t="shared" ref="DH32" si="613">IF(OR(CZ32=CZ31,CZ32=CZ33,CZ32=CZ34),SUM(CZ32,(-DD32-3*DE32)/10^15),CZ32)</f>
        <v>3.000003E-2</v>
      </c>
      <c r="DI32" s="45">
        <f t="shared" ref="DI32" si="614">RANK(DH32,DH31:DH34)</f>
        <v>1</v>
      </c>
      <c r="DK32" s="376" t="str">
        <f t="shared" ref="DK32" si="615">B38</f>
        <v>Italie</v>
      </c>
      <c r="DL32" s="377">
        <f t="shared" ref="DL32" si="616">COUNTIF(F35:F40,B38)*3+COUNTIF(F35,"Égalité")+COUNTIF(F38:F39,"Égalité")</f>
        <v>0</v>
      </c>
      <c r="DM32" s="377">
        <f t="shared" si="581"/>
        <v>0.03</v>
      </c>
      <c r="DN32" s="376">
        <f t="shared" si="582"/>
        <v>3.000003E-2</v>
      </c>
      <c r="DO32" s="376">
        <f t="shared" si="583"/>
        <v>3.000003E-2</v>
      </c>
      <c r="DP32" s="401">
        <f t="shared" si="584"/>
        <v>3.000003E-2</v>
      </c>
      <c r="DQ32" s="377" t="str">
        <f t="shared" ref="DQ32" si="617">B38</f>
        <v>Italie</v>
      </c>
    </row>
    <row r="33" spans="1:121" ht="15.75" thickBot="1" x14ac:dyDescent="0.3">
      <c r="A33" s="642"/>
      <c r="B33" s="313" t="str">
        <f>B32</f>
        <v>R. tchèque</v>
      </c>
      <c r="C33" s="123"/>
      <c r="D33" s="124"/>
      <c r="E33" s="357" t="str">
        <f>E31</f>
        <v>Croatie</v>
      </c>
      <c r="F33" s="516" t="str">
        <f t="shared" si="20"/>
        <v>Non joué</v>
      </c>
      <c r="G33" s="451"/>
      <c r="H33" s="452"/>
      <c r="I33" s="433"/>
      <c r="J33" s="434"/>
      <c r="K33" s="100"/>
      <c r="L33" s="128">
        <v>4</v>
      </c>
      <c r="M33" s="341" t="str">
        <f>IF(COUNT(C29:D34)&lt;&gt;0,VLOOKUP(LARGE(DP25:DP28,4),DP25:DQ28,2,FALSE),"")</f>
        <v/>
      </c>
      <c r="N33" s="392">
        <f t="shared" ref="N33" si="618">IF(M33&lt;&gt;"",VLOOKUP(M33,DK25:DL28,2,FALSE),0)</f>
        <v>0</v>
      </c>
      <c r="O33" s="403" t="s">
        <v>177</v>
      </c>
      <c r="P33" s="609"/>
      <c r="Q33" s="611"/>
      <c r="R33" s="97"/>
      <c r="S33" s="612" t="str">
        <f>IF(Q30&lt;&gt;Q32,IF(Q30&gt;Q32,P30,P32),"")</f>
        <v/>
      </c>
      <c r="T33" s="613"/>
      <c r="U33" s="97"/>
      <c r="V33" s="97"/>
      <c r="W33" s="97"/>
      <c r="X33" s="97"/>
      <c r="Y33" s="97"/>
      <c r="Z33" s="97"/>
      <c r="AA33" s="98"/>
      <c r="AC33" s="580"/>
      <c r="AD33" s="581"/>
      <c r="AE33" s="581"/>
      <c r="AF33" s="581"/>
      <c r="AG33" s="581"/>
      <c r="AH33" s="581"/>
      <c r="AI33" s="581"/>
      <c r="AJ33" s="582"/>
      <c r="AQ33" s="45" t="str">
        <f t="shared" ref="AQ33" si="619">B40</f>
        <v>Irlande</v>
      </c>
      <c r="AR33" s="45">
        <f t="shared" si="588"/>
        <v>0</v>
      </c>
      <c r="AS33" s="45">
        <f t="shared" ref="AS33:AS34" si="620">D38</f>
        <v>0</v>
      </c>
      <c r="AT33" s="493"/>
      <c r="AU33" s="45">
        <f t="shared" si="590"/>
        <v>0</v>
      </c>
      <c r="AW33" s="45" t="str">
        <f>IF(OR(VLOOKUP(B40,DK31:DL34,2,FALSE)=DL31,VLOOKUP(B40,DK31:DL34,2,FALSE)=DL32,VLOOKUP(B40,DK31:DL34,2,FALSE)=DL34),B40,"")</f>
        <v>Irlande</v>
      </c>
      <c r="AX33" s="3" t="str">
        <f>IF(AND(AW33&lt;&gt;"",AX30&lt;&gt;""),IF(VLOOKUP(AW33,DK31:DL34,2,FALSE)=VLOOKUP(AX30,DK31:DL34,2,FALSE),IF(AR33&gt;AT31,"Vainqueur",IF(AR33&lt;AT31,"Perdant","Egalité")),"Pas d'égalité"),"")</f>
        <v>Egalité</v>
      </c>
      <c r="AY33" s="3" t="str">
        <f>IF(AND(AW33&lt;&gt;"",AY30&lt;&gt;""),IF(VLOOKUP(AW33,DK31:DL34,2,FALSE)=VLOOKUP(AY30,DK31:DL34,2,FALSE),IF(AS33&gt;AT32,"Vainqueur",IF(AS33&lt;AT32,"Perdant","Egalité")),"Pas d'égalité"),"")</f>
        <v>Egalité</v>
      </c>
      <c r="AZ33" s="3"/>
      <c r="BA33" s="3" t="str">
        <f>IF(AND(AW33&lt;&gt;"",BA30&lt;&gt;""),IF(VLOOKUP(AW33,DK31:DL34,2,FALSE)=VLOOKUP(BA30,DK31:DL34,2,FALSE),IF(AU33&gt;AT34,"Vainqueur",IF(AU33&lt;AT34,"Perdant","Egalité")),"Pas d'égalité"),"")</f>
        <v>Egalité</v>
      </c>
      <c r="BB33" s="3"/>
      <c r="BC33" s="45" t="str">
        <f t="shared" si="539"/>
        <v>Irlande</v>
      </c>
      <c r="BD33" s="3">
        <f t="shared" si="540"/>
        <v>3</v>
      </c>
      <c r="BF33" s="45" t="str">
        <f t="shared" si="541"/>
        <v>Irlande</v>
      </c>
      <c r="BG33" s="3">
        <f t="shared" si="591"/>
        <v>0</v>
      </c>
      <c r="BH33" s="3">
        <f t="shared" ref="BH33:BH34" si="621">IF(OR(AY33="Vainqueur",AY33="Perdant",AY33="Egalité"),AS33,"")</f>
        <v>0</v>
      </c>
      <c r="BJ33" s="3">
        <f t="shared" si="544"/>
        <v>0</v>
      </c>
      <c r="BL33" s="45" t="str">
        <f t="shared" si="545"/>
        <v>Irlande</v>
      </c>
      <c r="BM33" s="3">
        <f t="shared" ref="BM33" si="622">IF(BL33&lt;&gt;"",SUM(BG33:BJ33)-SUM(BI31:BI34),"")</f>
        <v>0</v>
      </c>
      <c r="BO33" s="45" t="str">
        <f t="shared" si="593"/>
        <v>Irlande</v>
      </c>
      <c r="BP33" s="3">
        <f t="shared" si="548"/>
        <v>0</v>
      </c>
      <c r="BR33" s="3" t="str">
        <f t="shared" ref="BR33" si="623">B40</f>
        <v>Irlande</v>
      </c>
      <c r="BS33" s="45">
        <f>IF(BD33&lt;&gt;"",SUM(DL33,BD33/10^2,BM33/10^4,BP33/10^6),DL33)</f>
        <v>0.03</v>
      </c>
      <c r="BT33" s="45">
        <f t="shared" ref="BT33" si="624">RANK(BS33,BS31:BS34)</f>
        <v>1</v>
      </c>
      <c r="BV33" s="45" t="str">
        <f t="shared" ref="BV33" si="625">IF(OR(VLOOKUP(B40,BR31:BS34,2,FALSE)=BS31,VLOOKUP(B40,BR31:BS34,2,FALSE)=BS32,VLOOKUP(B40,BR31:BS34,2,FALSE)=BS34),B40,"")</f>
        <v>Irlande</v>
      </c>
      <c r="BW33" s="3" t="str">
        <f t="shared" ref="BW33" si="626">IF(AND(BV33&lt;&gt;"",BW30&lt;&gt;""),IF(VLOOKUP(BV33,BR31:BS34,2,FALSE)=VLOOKUP(BW30,BR31:BS34,2,FALSE),IF(AR33&gt;AT31,"Vainqueur",IF(AR33&lt;AT31,"Perdant","Egalité")),"Pas d'égalité"),"")</f>
        <v>Egalité</v>
      </c>
      <c r="BX33" s="3" t="str">
        <f t="shared" ref="BX33" si="627">IF(AND(BV33&lt;&gt;"",BX30&lt;&gt;""),IF(VLOOKUP(BV33,BR31:BS34,2,FALSE)=VLOOKUP(BX30,BR31:BS34,2,FALSE),IF(AS33&gt;AT32,"Vainqueur",IF(AS33&lt;AT32,"Perdant","Egalité")),"Pas d'égalité"),"")</f>
        <v>Egalité</v>
      </c>
      <c r="BY33" s="3"/>
      <c r="BZ33" s="3" t="str">
        <f t="shared" ref="BZ33" si="628">IF(AND(BV33&lt;&gt;"",BZ30&lt;&gt;""),IF(VLOOKUP(BV33,BR31:BS34,2,FALSE)=VLOOKUP(BZ30,BR31:BS34,2,FALSE),IF(AU33&gt;AT34,"Vainqueur",IF(AU33&lt;AT34,"Perdant","Egalité")),"Pas d'égalité"),"")</f>
        <v>Egalité</v>
      </c>
      <c r="CA33" s="3"/>
      <c r="CB33" s="45" t="str">
        <f t="shared" si="555"/>
        <v>Irlande</v>
      </c>
      <c r="CC33" s="3">
        <f t="shared" si="556"/>
        <v>3</v>
      </c>
      <c r="CE33" s="45" t="str">
        <f t="shared" si="557"/>
        <v>Irlande</v>
      </c>
      <c r="CF33" s="3">
        <f t="shared" si="600"/>
        <v>0</v>
      </c>
      <c r="CG33" s="3">
        <f t="shared" ref="CG33:CG34" si="629">IF(OR(BX33="Vainqueur",BX33="Perdant",BX33="Egalité"),AS33,"")</f>
        <v>0</v>
      </c>
      <c r="CI33" s="3">
        <f t="shared" si="560"/>
        <v>0</v>
      </c>
      <c r="CK33" s="45" t="str">
        <f t="shared" si="561"/>
        <v>Irlande</v>
      </c>
      <c r="CL33" s="3">
        <f t="shared" ref="CL33" si="630">IF(CK33&lt;&gt;"",SUM(CF33:CI33)-SUM(CH31:CH34),"")</f>
        <v>0</v>
      </c>
      <c r="CN33" s="45" t="str">
        <f t="shared" si="602"/>
        <v>Irlande</v>
      </c>
      <c r="CO33" s="3">
        <f t="shared" si="564"/>
        <v>0</v>
      </c>
      <c r="CQ33" s="3" t="str">
        <f t="shared" ref="CQ33" si="631">B40</f>
        <v>Irlande</v>
      </c>
      <c r="CR33" s="45">
        <f t="shared" si="566"/>
        <v>3.000003E-2</v>
      </c>
      <c r="CS33" s="45">
        <f t="shared" ref="CS33" si="632">RANK(CR33,CR31:CR34)</f>
        <v>1</v>
      </c>
      <c r="CU33" s="3" t="str">
        <f t="shared" ref="CU33" si="633">B40</f>
        <v>Irlande</v>
      </c>
      <c r="CV33" s="3">
        <f t="shared" ref="CV33" si="634">SUM(AR33:AU33)-SUM(AT31:AT34)</f>
        <v>0</v>
      </c>
      <c r="CW33" s="3">
        <f t="shared" si="570"/>
        <v>0</v>
      </c>
      <c r="CY33" s="3" t="str">
        <f t="shared" ref="CY33" si="635">B40</f>
        <v>Irlande</v>
      </c>
      <c r="CZ33" s="45">
        <f t="shared" ref="CZ33" si="636">IF(OR(CR33=CR31,CR33=CR32,CR33=CR34),SUM(CR33,CV33/10^12,CW33/10^14),CR33)</f>
        <v>3.000003E-2</v>
      </c>
      <c r="DA33" s="45">
        <f t="shared" ref="DA33" si="637">RANK(CZ33,CZ31:CZ34)</f>
        <v>1</v>
      </c>
      <c r="DB33" s="45"/>
      <c r="DC33" s="45" t="str">
        <f t="shared" ref="DC33" si="638">B40</f>
        <v>Irlande</v>
      </c>
      <c r="DD33" s="45">
        <f t="shared" ref="DD33:DE33" si="639">SUM(G40,I36,I38)</f>
        <v>0</v>
      </c>
      <c r="DE33" s="45">
        <f t="shared" si="639"/>
        <v>0</v>
      </c>
      <c r="DG33" s="3" t="str">
        <f t="shared" ref="DG33" si="640">B40</f>
        <v>Irlande</v>
      </c>
      <c r="DH33" s="45">
        <f t="shared" ref="DH33" si="641">IF(OR(CZ33=CZ31,CZ33=CZ32,CZ33=CZ34),SUM(CZ33,(-DD33-3*DE33)/10^15),CZ33)</f>
        <v>3.000003E-2</v>
      </c>
      <c r="DI33" s="45">
        <f t="shared" ref="DI33" si="642">RANK(DH33,DH31:DH34)</f>
        <v>1</v>
      </c>
      <c r="DK33" s="376" t="str">
        <f t="shared" ref="DK33" si="643">B40</f>
        <v>Irlande</v>
      </c>
      <c r="DL33" s="377">
        <f t="shared" ref="DL33" si="644">COUNTIF(F35:F40,B40)*3+COUNTIF(F36,"Égalité")+COUNTIF(F38,"Égalité")+COUNTIF(F40,"Égalité")</f>
        <v>0</v>
      </c>
      <c r="DM33" s="377">
        <f t="shared" si="581"/>
        <v>0.03</v>
      </c>
      <c r="DN33" s="376">
        <f t="shared" si="582"/>
        <v>3.000003E-2</v>
      </c>
      <c r="DO33" s="376">
        <f t="shared" si="583"/>
        <v>3.000003E-2</v>
      </c>
      <c r="DP33" s="401">
        <f t="shared" si="584"/>
        <v>3.000003E-2</v>
      </c>
      <c r="DQ33" s="377" t="str">
        <f t="shared" ref="DQ33" si="645">B40</f>
        <v>Irlande</v>
      </c>
    </row>
    <row r="34" spans="1:121" ht="15.75" thickBot="1" x14ac:dyDescent="0.3">
      <c r="A34" s="643"/>
      <c r="B34" s="314" t="str">
        <f>'Matchs de Qualification'!C9</f>
        <v>Turquie</v>
      </c>
      <c r="C34" s="130"/>
      <c r="D34" s="131"/>
      <c r="E34" s="358" t="str">
        <f>E31</f>
        <v>Croatie</v>
      </c>
      <c r="F34" s="517" t="str">
        <f t="shared" si="20"/>
        <v>Non joué</v>
      </c>
      <c r="G34" s="451"/>
      <c r="H34" s="452"/>
      <c r="I34" s="433"/>
      <c r="J34" s="434"/>
      <c r="K34" s="100"/>
      <c r="L34" s="97"/>
      <c r="M34" s="97"/>
      <c r="N34" s="97"/>
      <c r="O34" s="403"/>
      <c r="P34" s="97"/>
      <c r="Q34" s="97"/>
      <c r="R34" s="97"/>
      <c r="S34" s="608"/>
      <c r="T34" s="610"/>
      <c r="U34" s="97"/>
      <c r="V34" s="97"/>
      <c r="W34" s="97"/>
      <c r="X34" s="97"/>
      <c r="Y34" s="97"/>
      <c r="Z34" s="97"/>
      <c r="AA34" s="98"/>
      <c r="AC34" s="580"/>
      <c r="AD34" s="581"/>
      <c r="AE34" s="581"/>
      <c r="AF34" s="581"/>
      <c r="AG34" s="581"/>
      <c r="AH34" s="581"/>
      <c r="AI34" s="581"/>
      <c r="AJ34" s="582"/>
      <c r="AQ34" s="45" t="str">
        <f t="shared" ref="AQ34" si="646">E37</f>
        <v>Suède</v>
      </c>
      <c r="AR34" s="45">
        <f t="shared" si="588"/>
        <v>0</v>
      </c>
      <c r="AS34" s="45">
        <f t="shared" si="620"/>
        <v>0</v>
      </c>
      <c r="AT34" s="45">
        <f t="shared" ref="AT34" si="647">D40</f>
        <v>0</v>
      </c>
      <c r="AU34" s="493"/>
      <c r="AW34" s="45" t="str">
        <f>IF(OR(VLOOKUP(E37,DK31:DL34,2,FALSE)=DL31,VLOOKUP(E37,DK31:DL34,2,FALSE)=DL32,VLOOKUP(E37,DK31:DL34,2,FALSE)=DL33),E37,"")</f>
        <v>Suède</v>
      </c>
      <c r="AX34" s="3" t="str">
        <f>IF(AND(AW34&lt;&gt;"",AX30&lt;&gt;""),IF(VLOOKUP(AW34,DK31:DL34,2,FALSE)=VLOOKUP(AX30,DK31:DL34,2,FALSE),IF(AR34&gt;AU31,"Vainqueur",IF(AR34&lt;AU31,"Perdant","Egalité")),"Pas d'égalité"),"")</f>
        <v>Egalité</v>
      </c>
      <c r="AY34" s="3" t="str">
        <f>IF(AND(AW34&lt;&gt;"",AY30&lt;&gt;""),IF(VLOOKUP(AW34,DK31:DL34,2,FALSE)=VLOOKUP(AY30,DK31:DL34,2,FALSE),IF(AS34&gt;AU32,"Vainqueur",IF(AS34&lt;AU32,"Perdant","Egalité")),"Pas d'égalité"),"")</f>
        <v>Egalité</v>
      </c>
      <c r="AZ34" s="3" t="str">
        <f>IF(AND(AW34&lt;&gt;"",AZ30&lt;&gt;""),IF(VLOOKUP(AW34,DK31:DL34,2,FALSE)=VLOOKUP(AZ30,DK31:DL34,2,FALSE),IF(AT34&gt;AU33,"Vainqueur",IF(AT34&lt;AU33,"Perdant","Egalité")),"Pas d'égalité"),"")</f>
        <v>Egalité</v>
      </c>
      <c r="BA34" s="3"/>
      <c r="BB34" s="3"/>
      <c r="BC34" s="45" t="str">
        <f t="shared" si="539"/>
        <v>Suède</v>
      </c>
      <c r="BD34" s="3">
        <f t="shared" si="540"/>
        <v>3</v>
      </c>
      <c r="BF34" s="45" t="str">
        <f t="shared" si="541"/>
        <v>Suède</v>
      </c>
      <c r="BG34" s="3">
        <f t="shared" si="591"/>
        <v>0</v>
      </c>
      <c r="BH34" s="3">
        <f t="shared" si="621"/>
        <v>0</v>
      </c>
      <c r="BI34" s="3">
        <f t="shared" ref="BI34" si="648">IF(OR(AZ34="Vainqueur",AZ34="Perdant",AZ34="Egalité"),AT34,"")</f>
        <v>0</v>
      </c>
      <c r="BL34" s="45" t="str">
        <f t="shared" si="545"/>
        <v>Suède</v>
      </c>
      <c r="BM34" s="3">
        <f t="shared" ref="BM34" si="649">IF(BL34&lt;&gt;"",SUM(BG34:BJ34)-SUM(BJ31:BJ34),"")</f>
        <v>0</v>
      </c>
      <c r="BO34" s="45" t="str">
        <f t="shared" si="593"/>
        <v>Suède</v>
      </c>
      <c r="BP34" s="3">
        <f t="shared" si="548"/>
        <v>0</v>
      </c>
      <c r="BR34" s="3" t="str">
        <f t="shared" ref="BR34" si="650">E37</f>
        <v>Suède</v>
      </c>
      <c r="BS34" s="45">
        <f>IF(BD34&lt;&gt;"",SUM(DL34,BD34/10^2,BM34/10^4,BP34/10^6),DL34)</f>
        <v>0.03</v>
      </c>
      <c r="BT34" s="45">
        <f t="shared" ref="BT34" si="651">RANK(BS34,BS31:BS34)</f>
        <v>1</v>
      </c>
      <c r="BV34" s="45" t="str">
        <f t="shared" ref="BV34" si="652">IF(OR(VLOOKUP(E37,BR31:BS34,2,FALSE)=BS31,VLOOKUP(E37,BR31:BS34,2,FALSE)=BS32,VLOOKUP(E37,BR31:BS34,2,FALSE)=BS33),E37,"")</f>
        <v>Suède</v>
      </c>
      <c r="BW34" s="3" t="str">
        <f t="shared" ref="BW34" si="653">IF(AND(BV34&lt;&gt;"",BW30&lt;&gt;""),IF(VLOOKUP(BV34,BR31:BS34,2,FALSE)=VLOOKUP(BW30,BR31:BS34,2,FALSE),IF(AR34&gt;AU31,"Vainqueur",IF(AR34&lt;AU31,"Perdant","Egalité")),"Pas d'égalité"),"")</f>
        <v>Egalité</v>
      </c>
      <c r="BX34" s="3" t="str">
        <f t="shared" ref="BX34" si="654">IF(AND(BV34&lt;&gt;"",BX30&lt;&gt;""),IF(VLOOKUP(BV34,BR31:BS34,2,FALSE)=VLOOKUP(BX30,BR31:BS34,2,FALSE),IF(AS34&gt;AU32,"Vainqueur",IF(AS34&lt;AU32,"Perdant","Egalité")),"Pas d'égalité"),"")</f>
        <v>Egalité</v>
      </c>
      <c r="BY34" s="3" t="str">
        <f t="shared" ref="BY34" si="655">IF(AND(BV34&lt;&gt;"",BY30&lt;&gt;""),IF(VLOOKUP(BV34,BR31:BS34,2,FALSE)=VLOOKUP(BY30,BR31:BS34,2,FALSE),IF(AT34&gt;AU33,"Vainqueur",IF(AT34&lt;AU33,"Perdant","Egalité")),"Pas d'égalité"),"")</f>
        <v>Egalité</v>
      </c>
      <c r="BZ34" s="3"/>
      <c r="CA34" s="3"/>
      <c r="CB34" s="45" t="str">
        <f t="shared" si="555"/>
        <v>Suède</v>
      </c>
      <c r="CC34" s="3">
        <f t="shared" si="556"/>
        <v>3</v>
      </c>
      <c r="CE34" s="45" t="str">
        <f t="shared" si="557"/>
        <v>Suède</v>
      </c>
      <c r="CF34" s="3">
        <f t="shared" si="600"/>
        <v>0</v>
      </c>
      <c r="CG34" s="3">
        <f t="shared" si="629"/>
        <v>0</v>
      </c>
      <c r="CH34" s="3">
        <f t="shared" ref="CH34" si="656">IF(OR(BY34="Vainqueur",BY34="Perdant",BY34="Egalité"),AT34,"")</f>
        <v>0</v>
      </c>
      <c r="CK34" s="45" t="str">
        <f t="shared" si="561"/>
        <v>Suède</v>
      </c>
      <c r="CL34" s="3">
        <f t="shared" ref="CL34" si="657">IF(CK34&lt;&gt;"",SUM(CF34:CI34)-SUM(CI31:CI34),"")</f>
        <v>0</v>
      </c>
      <c r="CN34" s="45" t="str">
        <f t="shared" si="602"/>
        <v>Suède</v>
      </c>
      <c r="CO34" s="3">
        <f t="shared" si="564"/>
        <v>0</v>
      </c>
      <c r="CQ34" s="3" t="str">
        <f t="shared" ref="CQ34" si="658">E37</f>
        <v>Suède</v>
      </c>
      <c r="CR34" s="45">
        <f t="shared" si="566"/>
        <v>3.000003E-2</v>
      </c>
      <c r="CS34" s="45">
        <f t="shared" ref="CS34" si="659">RANK(CR34,CR31:CR34)</f>
        <v>1</v>
      </c>
      <c r="CU34" s="3" t="str">
        <f t="shared" ref="CU34" si="660">E37</f>
        <v>Suède</v>
      </c>
      <c r="CV34" s="3">
        <f t="shared" ref="CV34" si="661">SUM(AR34:AU34)-SUM(AU31:AU34)</f>
        <v>0</v>
      </c>
      <c r="CW34" s="3">
        <f t="shared" si="570"/>
        <v>0</v>
      </c>
      <c r="CY34" s="3" t="str">
        <f t="shared" ref="CY34" si="662">E37</f>
        <v>Suède</v>
      </c>
      <c r="CZ34" s="45">
        <f t="shared" ref="CZ34" si="663">IF(OR(CR34=CR31,CR34=CR32,CR34=CR33),SUM(CR34,CV34/10^12,CW34/10^14),CR34)</f>
        <v>3.000003E-2</v>
      </c>
      <c r="DA34" s="45">
        <f t="shared" ref="DA34" si="664">RANK(CZ34,CZ31:CZ34)</f>
        <v>1</v>
      </c>
      <c r="DB34" s="45"/>
      <c r="DC34" s="45" t="str">
        <f t="shared" ref="DC34" si="665">E37</f>
        <v>Suède</v>
      </c>
      <c r="DD34" s="45">
        <f t="shared" ref="DD34:DE34" si="666">SUM(I37,I39,I40)</f>
        <v>0</v>
      </c>
      <c r="DE34" s="45">
        <f t="shared" si="666"/>
        <v>0</v>
      </c>
      <c r="DG34" s="3" t="str">
        <f t="shared" ref="DG34" si="667">E37</f>
        <v>Suède</v>
      </c>
      <c r="DH34" s="45">
        <f t="shared" ref="DH34" si="668">IF(OR(CZ34=CZ31,CZ34=CZ32,CZ34=CZ33),SUM(CZ34,(-DD34-3*DE34)/10^15),CZ34)</f>
        <v>3.000003E-2</v>
      </c>
      <c r="DI34" s="45">
        <f t="shared" ref="DI34" si="669">RANK(DH34,DH31:DH34)</f>
        <v>1</v>
      </c>
      <c r="DK34" s="377" t="str">
        <f t="shared" ref="DK34" si="670">E37</f>
        <v>Suède</v>
      </c>
      <c r="DL34" s="494">
        <f t="shared" ref="DL34" si="671">COUNTIF(F35:F40,E37)*3+COUNTIF(F37,"Égalité")+COUNTIF(F39:F40,"Égalité")</f>
        <v>0</v>
      </c>
      <c r="DM34" s="377">
        <f t="shared" si="581"/>
        <v>0.03</v>
      </c>
      <c r="DN34" s="376">
        <f t="shared" si="582"/>
        <v>3.000003E-2</v>
      </c>
      <c r="DO34" s="376">
        <f t="shared" si="583"/>
        <v>3.000003E-2</v>
      </c>
      <c r="DP34" s="401">
        <f t="shared" si="584"/>
        <v>3.000003E-2</v>
      </c>
      <c r="DQ34" s="377" t="str">
        <f t="shared" ref="DQ34" si="672">E37</f>
        <v>Suède</v>
      </c>
    </row>
    <row r="35" spans="1:121" ht="15.75" thickBot="1" x14ac:dyDescent="0.3">
      <c r="A35" s="638" t="s">
        <v>120</v>
      </c>
      <c r="B35" s="315" t="str">
        <f>'Matchs de Qualification'!C15</f>
        <v>Belgique</v>
      </c>
      <c r="C35" s="132"/>
      <c r="D35" s="133"/>
      <c r="E35" s="359" t="str">
        <f>B38</f>
        <v>Italie</v>
      </c>
      <c r="F35" s="518" t="str">
        <f t="shared" si="20"/>
        <v>Non joué</v>
      </c>
      <c r="G35" s="453"/>
      <c r="H35" s="454"/>
      <c r="I35" s="435"/>
      <c r="J35" s="436"/>
      <c r="K35" s="100"/>
      <c r="L35" s="206" t="s">
        <v>115</v>
      </c>
      <c r="M35" s="370" t="s">
        <v>86</v>
      </c>
      <c r="N35" s="154" t="s">
        <v>94</v>
      </c>
      <c r="O35" s="403"/>
      <c r="P35" s="97"/>
      <c r="Q35" s="97"/>
      <c r="R35" s="97"/>
      <c r="S35" s="608" t="str">
        <f>IF(Q36&lt;&gt;Q38,IF(Q36&gt;Q38,P36,P38),"")</f>
        <v/>
      </c>
      <c r="T35" s="610"/>
      <c r="U35" s="97"/>
      <c r="V35" s="97"/>
      <c r="W35" s="97"/>
      <c r="X35" s="97"/>
      <c r="Y35" s="97"/>
      <c r="Z35" s="97"/>
      <c r="AA35" s="98"/>
      <c r="AC35" s="580"/>
      <c r="AD35" s="581"/>
      <c r="AE35" s="581"/>
      <c r="AF35" s="581"/>
      <c r="AG35" s="581"/>
      <c r="AH35" s="581"/>
      <c r="AI35" s="581"/>
      <c r="AJ35" s="582"/>
      <c r="AQ35" s="45"/>
      <c r="AR35" s="45"/>
      <c r="AS35" s="45"/>
      <c r="AY35" s="3"/>
      <c r="AZ35" s="3"/>
      <c r="BA35" s="3"/>
      <c r="BB35" s="3"/>
      <c r="BC35" s="3"/>
      <c r="BD35" s="3"/>
      <c r="BF35" s="3"/>
      <c r="BG35" s="3"/>
      <c r="BS35" s="45"/>
      <c r="BT35" s="45"/>
      <c r="BX35" s="3"/>
      <c r="BY35" s="3"/>
      <c r="BZ35" s="3"/>
      <c r="CA35" s="3"/>
      <c r="CB35" s="3"/>
      <c r="CC35" s="3"/>
      <c r="CE35" s="3"/>
      <c r="CF35" s="3"/>
      <c r="CR35" s="45"/>
      <c r="CS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</row>
    <row r="36" spans="1:121" ht="15.75" thickBot="1" x14ac:dyDescent="0.3">
      <c r="A36" s="639"/>
      <c r="B36" s="316" t="str">
        <f>B35</f>
        <v>Belgique</v>
      </c>
      <c r="C36" s="134"/>
      <c r="D36" s="135"/>
      <c r="E36" s="360" t="str">
        <f>B40</f>
        <v>Irlande</v>
      </c>
      <c r="F36" s="519" t="str">
        <f t="shared" si="20"/>
        <v>Non joué</v>
      </c>
      <c r="G36" s="453"/>
      <c r="H36" s="454"/>
      <c r="I36" s="435"/>
      <c r="J36" s="436"/>
      <c r="K36" s="100"/>
      <c r="L36" s="136">
        <v>1</v>
      </c>
      <c r="M36" s="342" t="str">
        <f t="shared" ref="M36" si="673">IF(COUNT(C35:D40)&lt;&gt;0,VLOOKUP(MAX(DP31:DP34),DP31:DQ34,2,FALSE),"")</f>
        <v/>
      </c>
      <c r="N36" s="393">
        <f t="shared" ref="N36" si="674">IF(M36&lt;&gt;"",VLOOKUP(M36,DK31:DL34,2,FALSE),0)</f>
        <v>0</v>
      </c>
      <c r="O36" s="403" t="s">
        <v>178</v>
      </c>
      <c r="P36" s="612" t="str">
        <f>M36</f>
        <v/>
      </c>
      <c r="Q36" s="613"/>
      <c r="R36" s="97"/>
      <c r="S36" s="609"/>
      <c r="T36" s="611"/>
      <c r="U36" s="97"/>
      <c r="V36" s="97"/>
      <c r="W36" s="97"/>
      <c r="X36" s="97"/>
      <c r="Y36" s="97"/>
      <c r="Z36" s="97"/>
      <c r="AA36" s="98"/>
      <c r="AC36" s="580"/>
      <c r="AD36" s="581"/>
      <c r="AE36" s="581"/>
      <c r="AF36" s="581"/>
      <c r="AG36" s="581"/>
      <c r="AH36" s="581"/>
      <c r="AI36" s="581"/>
      <c r="AJ36" s="582"/>
      <c r="AQ36" s="45"/>
      <c r="AR36" s="45" t="str">
        <f t="shared" ref="AR36" si="675">AQ37</f>
        <v>Portugal</v>
      </c>
      <c r="AS36" s="3" t="str">
        <f t="shared" ref="AS36" si="676">AQ38</f>
        <v>Islande</v>
      </c>
      <c r="AT36" s="3" t="str">
        <f t="shared" ref="AT36" si="677">AQ39</f>
        <v>Autriche</v>
      </c>
      <c r="AU36" s="3" t="str">
        <f t="shared" ref="AU36" si="678">AQ40</f>
        <v>Hongrie</v>
      </c>
      <c r="AX36" s="45" t="str">
        <f t="shared" ref="AX36" si="679">AW37</f>
        <v>Portugal</v>
      </c>
      <c r="AY36" s="3" t="str">
        <f t="shared" ref="AY36" si="680">AW38</f>
        <v>Islande</v>
      </c>
      <c r="AZ36" s="3" t="str">
        <f t="shared" ref="AZ36" si="681">AW39</f>
        <v>Autriche</v>
      </c>
      <c r="BA36" s="3" t="str">
        <f t="shared" ref="BA36" si="682">AW40</f>
        <v>Hongrie</v>
      </c>
      <c r="BB36" s="3"/>
      <c r="BG36" s="45" t="str">
        <f t="shared" ref="BG36" si="683">BF37</f>
        <v>Portugal</v>
      </c>
      <c r="BH36" s="3" t="str">
        <f t="shared" ref="BH36" si="684">BF38</f>
        <v>Islande</v>
      </c>
      <c r="BI36" s="3" t="str">
        <f t="shared" ref="BI36" si="685">BF39</f>
        <v>Autriche</v>
      </c>
      <c r="BJ36" s="3" t="str">
        <f t="shared" ref="BJ36" si="686">BF40</f>
        <v>Hongrie</v>
      </c>
      <c r="BL36" s="45"/>
      <c r="BM36" s="45"/>
      <c r="BO36" s="45"/>
      <c r="BP36" s="45"/>
      <c r="BQ36" s="45"/>
      <c r="BR36" s="45"/>
      <c r="BS36" s="45" t="s">
        <v>188</v>
      </c>
      <c r="BT36" s="45" t="s">
        <v>115</v>
      </c>
      <c r="BU36" s="45"/>
      <c r="BW36" s="45" t="str">
        <f t="shared" ref="BW36" si="687">BV37</f>
        <v>Portugal</v>
      </c>
      <c r="BX36" s="3" t="str">
        <f t="shared" ref="BX36" si="688">BV38</f>
        <v>Islande</v>
      </c>
      <c r="BY36" s="3" t="str">
        <f t="shared" ref="BY36" si="689">BV39</f>
        <v>Autriche</v>
      </c>
      <c r="BZ36" s="3" t="str">
        <f t="shared" ref="BZ36" si="690">BV40</f>
        <v>Hongrie</v>
      </c>
      <c r="CA36" s="3"/>
      <c r="CF36" s="45" t="str">
        <f t="shared" ref="CF36" si="691">CE37</f>
        <v>Portugal</v>
      </c>
      <c r="CG36" s="3" t="str">
        <f t="shared" ref="CG36" si="692">CE38</f>
        <v>Islande</v>
      </c>
      <c r="CH36" s="3" t="str">
        <f t="shared" ref="CH36" si="693">CE39</f>
        <v>Autriche</v>
      </c>
      <c r="CI36" s="3" t="str">
        <f t="shared" ref="CI36" si="694">CE40</f>
        <v>Hongrie</v>
      </c>
      <c r="CK36" s="45"/>
      <c r="CL36" s="45"/>
      <c r="CN36" s="45"/>
      <c r="CO36" s="45"/>
      <c r="CP36" s="45"/>
      <c r="CQ36" s="45"/>
      <c r="CR36" s="45" t="s">
        <v>188</v>
      </c>
      <c r="CS36" s="45" t="s">
        <v>115</v>
      </c>
      <c r="CT36" s="45"/>
      <c r="CV36" s="45"/>
      <c r="CW36" s="45"/>
      <c r="CY36" s="45"/>
      <c r="CZ36" s="45" t="s">
        <v>188</v>
      </c>
      <c r="DA36" s="45" t="s">
        <v>115</v>
      </c>
      <c r="DB36" s="45"/>
      <c r="DG36" s="45"/>
      <c r="DH36" s="45" t="s">
        <v>188</v>
      </c>
      <c r="DI36" s="45" t="s">
        <v>115</v>
      </c>
      <c r="DK36" s="376" t="s">
        <v>86</v>
      </c>
      <c r="DL36" s="377" t="s">
        <v>94</v>
      </c>
      <c r="DM36" s="377" t="s">
        <v>205</v>
      </c>
      <c r="DN36" s="377" t="s">
        <v>206</v>
      </c>
      <c r="DO36" s="377" t="s">
        <v>200</v>
      </c>
      <c r="DP36" s="376" t="s">
        <v>116</v>
      </c>
      <c r="DQ36" s="377" t="s">
        <v>86</v>
      </c>
    </row>
    <row r="37" spans="1:121" ht="15.75" thickBot="1" x14ac:dyDescent="0.3">
      <c r="A37" s="639"/>
      <c r="B37" s="316" t="str">
        <f>B35</f>
        <v>Belgique</v>
      </c>
      <c r="C37" s="134"/>
      <c r="D37" s="135"/>
      <c r="E37" s="360" t="str">
        <f>'Matchs de Qualification'!L15</f>
        <v>Suède</v>
      </c>
      <c r="F37" s="306" t="str">
        <f t="shared" si="20"/>
        <v>Non joué</v>
      </c>
      <c r="G37" s="455"/>
      <c r="H37" s="456"/>
      <c r="I37" s="437"/>
      <c r="J37" s="438"/>
      <c r="K37" s="100"/>
      <c r="L37" s="155">
        <v>2</v>
      </c>
      <c r="M37" s="155" t="str">
        <f t="shared" ref="M37" si="695">IF(COUNT(C35:D40)&lt;&gt;0,VLOOKUP(LARGE(DP31:DP34,2),DP31:DQ34,2,FALSE),"")</f>
        <v/>
      </c>
      <c r="N37" s="394">
        <f t="shared" ref="N37" si="696">IF(M37&lt;&gt;"",VLOOKUP(M37,DK31:DL34,2,FALSE),0)</f>
        <v>0</v>
      </c>
      <c r="O37" s="403"/>
      <c r="P37" s="608"/>
      <c r="Q37" s="610"/>
      <c r="R37" s="97"/>
      <c r="S37" s="97"/>
      <c r="T37" s="97"/>
      <c r="U37" s="97"/>
      <c r="V37" s="97"/>
      <c r="W37" s="97"/>
      <c r="X37" s="97"/>
      <c r="Y37" s="97"/>
      <c r="Z37" s="97"/>
      <c r="AA37" s="98"/>
      <c r="AC37" s="583"/>
      <c r="AD37" s="584"/>
      <c r="AE37" s="584"/>
      <c r="AF37" s="584"/>
      <c r="AG37" s="584"/>
      <c r="AH37" s="584"/>
      <c r="AI37" s="584"/>
      <c r="AJ37" s="585"/>
      <c r="AQ37" s="45" t="str">
        <f t="shared" ref="AQ37" si="697">B41</f>
        <v>Portugal</v>
      </c>
      <c r="AR37" s="493"/>
      <c r="AS37" s="45">
        <f t="shared" ref="AS37" si="698">C41</f>
        <v>0</v>
      </c>
      <c r="AT37" s="45">
        <f t="shared" ref="AT37" si="699">C42</f>
        <v>0</v>
      </c>
      <c r="AU37" s="45">
        <f t="shared" ref="AU37" si="700">C43</f>
        <v>0</v>
      </c>
      <c r="AW37" s="45" t="str">
        <f>IF(OR(VLOOKUP(B41,DK37:DL40,2,FALSE)=DL38,VLOOKUP(B41,DK37:DL40,2,FALSE)=DL39,VLOOKUP(B41,DK37:DL40,2,FALSE)=DL40),B41,"")</f>
        <v>Portugal</v>
      </c>
      <c r="AX37" s="3"/>
      <c r="AY37" s="3" t="str">
        <f>IF(AND(AW37&lt;&gt;"",AY36&lt;&gt;""),IF(VLOOKUP(AW37,DK37:DL40,2,FALSE)=VLOOKUP(AY36,DK37:DL40,2,FALSE),IF(AS37&gt;AR38,"Vainqueur",IF(AS37&lt;AR38,"Perdant","Egalité")),"Pas d'égalité"),"")</f>
        <v>Egalité</v>
      </c>
      <c r="AZ37" s="3" t="str">
        <f>IF(AND(AW37&lt;&gt;"",AZ36&lt;&gt;""),IF(VLOOKUP(AW37,DK37:DL40,2,FALSE)=VLOOKUP(AZ36,DK37:DL40,2,FALSE),IF(AT37&gt;AR39,"Vainqueur",IF(AT37&lt;AR39,"Perdant","Egalité")),"Pas d'égalité"),"")</f>
        <v>Egalité</v>
      </c>
      <c r="BA37" s="3" t="str">
        <f>IF(AND(AW37&lt;&gt;"",BA36&lt;&gt;""),IF(VLOOKUP(AW37,DK37:DL40,2,FALSE)=VLOOKUP(BA36,DK37:DL40,2,FALSE),IF(AU37&gt;AR40,"Vainqueur",IF(AU37&lt;AR40,"Perdant","Egalité")),"Pas d'égalité"),"")</f>
        <v>Egalité</v>
      </c>
      <c r="BB37" s="3"/>
      <c r="BC37" s="45" t="str">
        <f t="shared" ref="BC37:BC40" si="701">AW37</f>
        <v>Portugal</v>
      </c>
      <c r="BD37" s="3">
        <f t="shared" ref="BD37:BD40" si="702">IF(BC37&lt;&gt;"",3*COUNTIF(AX37:BA37,"Vainqueur")+COUNTIF(AX37:BA37,"Egalité"),"")</f>
        <v>3</v>
      </c>
      <c r="BF37" s="45" t="str">
        <f t="shared" ref="BF37:BF40" si="703">AW37</f>
        <v>Portugal</v>
      </c>
      <c r="BG37" s="3"/>
      <c r="BH37" s="3">
        <f t="shared" ref="BH37" si="704">IF(OR(AY37="Vainqueur",AY37="Perdant",AY37="Egalité"),AS37,"")</f>
        <v>0</v>
      </c>
      <c r="BI37" s="3">
        <f t="shared" ref="BI37:BI38" si="705">IF(OR(AZ37="Vainqueur",AZ37="Perdant",AZ37="Egalité"),AT37,"")</f>
        <v>0</v>
      </c>
      <c r="BJ37" s="3">
        <f t="shared" ref="BJ37:BJ39" si="706">IF(OR(BA37="Vainqueur",BA37="Perdant",BA37="Egalité"),AU37,"")</f>
        <v>0</v>
      </c>
      <c r="BL37" s="45" t="str">
        <f t="shared" ref="BL37:BL40" si="707">AW37</f>
        <v>Portugal</v>
      </c>
      <c r="BM37" s="3">
        <f t="shared" ref="BM37" si="708">IF(BL37&lt;&gt;"",SUM(BG37:BJ37)-SUM(BG37:BG40),"")</f>
        <v>0</v>
      </c>
      <c r="BO37" s="45" t="str">
        <f t="shared" ref="BO37" si="709">BF37</f>
        <v>Portugal</v>
      </c>
      <c r="BP37" s="3">
        <f t="shared" ref="BP37:BP40" si="710">IF(BO37&lt;&gt;"",SUM(BG37:BJ37),"")</f>
        <v>0</v>
      </c>
      <c r="BR37" s="3" t="str">
        <f t="shared" ref="BR37" si="711">B41</f>
        <v>Portugal</v>
      </c>
      <c r="BS37" s="45">
        <f>IF(BD37&lt;&gt;"",SUM(DL37,BD37/10^2,BM37/10^4,BP37/10^6),DL37)</f>
        <v>0.03</v>
      </c>
      <c r="BT37" s="45">
        <f t="shared" ref="BT37" si="712">RANK(BS37,BS37:BS40)</f>
        <v>1</v>
      </c>
      <c r="BV37" s="45" t="str">
        <f t="shared" ref="BV37" si="713">IF(OR(VLOOKUP(B41,BR37:BS40,2,FALSE)=BS38,VLOOKUP(B41,BR37:BS40,2,FALSE)=BS39,VLOOKUP(B41,BR37:BS40,2,FALSE)=BS40),B41,"")</f>
        <v>Portugal</v>
      </c>
      <c r="BW37" s="3"/>
      <c r="BX37" s="3" t="str">
        <f t="shared" ref="BX37" si="714">IF(AND(BV37&lt;&gt;"",BX36&lt;&gt;""),IF(VLOOKUP(BV37,BR37:BS40,2,FALSE)=VLOOKUP(BX36,BR37:BS40,2,FALSE),IF(AS37&gt;AR38,"Vainqueur",IF(AS37&lt;AR38,"Perdant","Egalité")),"Pas d'égalité"),"")</f>
        <v>Egalité</v>
      </c>
      <c r="BY37" s="3" t="str">
        <f t="shared" ref="BY37" si="715">IF(AND(BV37&lt;&gt;"",BY36&lt;&gt;""),IF(VLOOKUP(BV37,BR37:BS40,2,FALSE)=VLOOKUP(BY36,BR37:BS40,2,FALSE),IF(AT37&gt;AR39,"Vainqueur",IF(AT37&lt;AR39,"Perdant","Egalité")),"Pas d'égalité"),"")</f>
        <v>Egalité</v>
      </c>
      <c r="BZ37" s="3" t="str">
        <f t="shared" ref="BZ37" si="716">IF(AND(BV37&lt;&gt;"",BZ36&lt;&gt;""),IF(VLOOKUP(BV37,BR37:BS40,2,FALSE)=VLOOKUP(BZ36,BR37:BS40,2,FALSE),IF(AU37&gt;AR40,"Vainqueur",IF(AU37&lt;AR40,"Perdant","Egalité")),"Pas d'égalité"),"")</f>
        <v>Egalité</v>
      </c>
      <c r="CA37" s="3"/>
      <c r="CB37" s="45" t="str">
        <f t="shared" ref="CB37:CB40" si="717">BV37</f>
        <v>Portugal</v>
      </c>
      <c r="CC37" s="3">
        <f t="shared" ref="CC37:CC40" si="718">IF(CB37&lt;&gt;"",3*COUNTIF(BW37:BZ37,"Vainqueur")+COUNTIF(BW37:BZ37,"Egalité"),"")</f>
        <v>3</v>
      </c>
      <c r="CE37" s="45" t="str">
        <f t="shared" ref="CE37:CE40" si="719">BV37</f>
        <v>Portugal</v>
      </c>
      <c r="CF37" s="3"/>
      <c r="CG37" s="3">
        <f>IF(OR(BX37="Vainqueur",BX37="Perdant",BX37="Egalité"),AS37,"")</f>
        <v>0</v>
      </c>
      <c r="CH37" s="3">
        <f t="shared" ref="CH37:CH38" si="720">IF(OR(BY37="Vainqueur",BY37="Perdant",BY37="Egalité"),AT37,"")</f>
        <v>0</v>
      </c>
      <c r="CI37" s="3">
        <f t="shared" ref="CI37:CI39" si="721">IF(OR(BZ37="Vainqueur",BZ37="Perdant",BZ37="Egalité"),AU37,"")</f>
        <v>0</v>
      </c>
      <c r="CK37" s="45" t="str">
        <f t="shared" ref="CK37:CK40" si="722">BV37</f>
        <v>Portugal</v>
      </c>
      <c r="CL37" s="3">
        <f t="shared" ref="CL37" si="723">IF(CK37&lt;&gt;"",SUM(CF37:CI37)-SUM(CF37:CF40),"")</f>
        <v>0</v>
      </c>
      <c r="CN37" s="45" t="str">
        <f t="shared" ref="CN37" si="724">CE37</f>
        <v>Portugal</v>
      </c>
      <c r="CO37" s="3">
        <f t="shared" ref="CO37:CO40" si="725">IF(CN37&lt;&gt;"",SUM(CF37:CI37),"")</f>
        <v>0</v>
      </c>
      <c r="CQ37" s="3" t="str">
        <f t="shared" ref="CQ37" si="726">B41</f>
        <v>Portugal</v>
      </c>
      <c r="CR37" s="45">
        <f t="shared" ref="CR37:CR40" si="727">IF(CC37&lt;&gt;"",SUM(BS37,CC37/10^8,CL37/10^9,CO37/10^10),BS37)</f>
        <v>3.000003E-2</v>
      </c>
      <c r="CS37" s="45">
        <f t="shared" ref="CS37" si="728">RANK(CR37,CR37:CR40)</f>
        <v>1</v>
      </c>
      <c r="CU37" s="3" t="str">
        <f t="shared" ref="CU37" si="729">B41</f>
        <v>Portugal</v>
      </c>
      <c r="CV37" s="3">
        <f t="shared" ref="CV37" si="730">SUM(AR37:AU37)-SUM(AR37:AR40)</f>
        <v>0</v>
      </c>
      <c r="CW37" s="3">
        <f t="shared" ref="CW37:CW40" si="731">SUM(AR37:AU37)</f>
        <v>0</v>
      </c>
      <c r="CY37" s="3" t="str">
        <f t="shared" ref="CY37" si="732">B41</f>
        <v>Portugal</v>
      </c>
      <c r="CZ37" s="45">
        <f t="shared" ref="CZ37" si="733">IF(OR(CR37=CR38,CR37=CR39,CR37=CR40),SUM(CR37,CV37/10^12,CW37/10^14),CR37)</f>
        <v>3.000003E-2</v>
      </c>
      <c r="DA37" s="45">
        <f t="shared" ref="DA37" si="734">RANK(CZ37,CZ37:CZ40)</f>
        <v>1</v>
      </c>
      <c r="DB37" s="45"/>
      <c r="DC37" s="45" t="str">
        <f t="shared" ref="DC37" si="735">B41</f>
        <v>Portugal</v>
      </c>
      <c r="DD37" s="45">
        <f t="shared" ref="DD37:DE37" si="736">SUM(G41,G42,G43)</f>
        <v>0</v>
      </c>
      <c r="DE37" s="45">
        <f t="shared" si="736"/>
        <v>0</v>
      </c>
      <c r="DG37" s="3" t="str">
        <f t="shared" ref="DG37" si="737">B41</f>
        <v>Portugal</v>
      </c>
      <c r="DH37" s="45">
        <f t="shared" ref="DH37" si="738">IF(OR(CZ37=CZ38,CZ37=CZ39,CZ37=CZ40),SUM(CZ37,(-DD37-3*DE37)/10^15),CZ37)</f>
        <v>3.000003E-2</v>
      </c>
      <c r="DI37" s="45">
        <f t="shared" ref="DI37" si="739">RANK(DH37,DH37:DH40)</f>
        <v>1</v>
      </c>
      <c r="DK37" s="376" t="str">
        <f t="shared" ref="DK37" si="740">B41</f>
        <v>Portugal</v>
      </c>
      <c r="DL37" s="377">
        <f t="shared" ref="DL37" si="741">COUNTIF(F41:F46,B41)*3+COUNTIF(F41:F43,"Égalité")</f>
        <v>0</v>
      </c>
      <c r="DM37" s="377">
        <f t="shared" ref="DM37:DM40" si="742">BS37</f>
        <v>0.03</v>
      </c>
      <c r="DN37" s="376">
        <f t="shared" ref="DN37:DN40" si="743">CR37</f>
        <v>3.000003E-2</v>
      </c>
      <c r="DO37" s="376">
        <f t="shared" ref="DO37:DO40" si="744">CZ37</f>
        <v>3.000003E-2</v>
      </c>
      <c r="DP37" s="401">
        <f t="shared" ref="DP37:DP40" si="745">DH37</f>
        <v>3.000003E-2</v>
      </c>
      <c r="DQ37" s="377" t="str">
        <f t="shared" ref="DQ37" si="746">B41</f>
        <v>Portugal</v>
      </c>
    </row>
    <row r="38" spans="1:121" ht="15.75" customHeight="1" thickBot="1" x14ac:dyDescent="0.3">
      <c r="A38" s="639"/>
      <c r="B38" s="316" t="str">
        <f>'Matchs de Qualification'!L20</f>
        <v>Italie</v>
      </c>
      <c r="C38" s="134"/>
      <c r="D38" s="135"/>
      <c r="E38" s="360" t="str">
        <f>B40</f>
        <v>Irlande</v>
      </c>
      <c r="F38" s="519" t="str">
        <f t="shared" si="20"/>
        <v>Non joué</v>
      </c>
      <c r="G38" s="453"/>
      <c r="H38" s="454"/>
      <c r="I38" s="435"/>
      <c r="J38" s="436"/>
      <c r="K38" s="100"/>
      <c r="L38" s="137">
        <v>3</v>
      </c>
      <c r="M38" s="137" t="str">
        <f t="shared" ref="M38" si="747">IF(COUNT(C35:D40)&lt;&gt;0,VLOOKUP(LARGE(DP31:DP34,3),DP31:DQ34,2,FALSE),"")</f>
        <v/>
      </c>
      <c r="N38" s="395">
        <f t="shared" ref="N38" si="748">IF(M38&lt;&gt;"",VLOOKUP(M38,DK31:DL34,2,FALSE),0)</f>
        <v>0</v>
      </c>
      <c r="O38" s="403"/>
      <c r="P38" s="608" t="str">
        <f>M31</f>
        <v/>
      </c>
      <c r="Q38" s="610"/>
      <c r="R38" s="97"/>
      <c r="S38" s="97"/>
      <c r="T38" s="97"/>
      <c r="U38" s="97"/>
      <c r="V38" s="97"/>
      <c r="W38" s="97"/>
      <c r="X38" s="97"/>
      <c r="Y38" s="97"/>
      <c r="Z38" s="97"/>
      <c r="AA38" s="98"/>
      <c r="AC38" s="571" t="str">
        <f>HYPERLINK("http://www.tipeee.com/destrutios","Ma page Tipeee : https://www.tipeee.com/destrutios")</f>
        <v>Ma page Tipeee : https://www.tipeee.com/destrutios</v>
      </c>
      <c r="AD38" s="572"/>
      <c r="AE38" s="572"/>
      <c r="AF38" s="572"/>
      <c r="AG38" s="572"/>
      <c r="AH38" s="572"/>
      <c r="AI38" s="572"/>
      <c r="AJ38" s="573"/>
      <c r="AQ38" s="45" t="str">
        <f t="shared" ref="AQ38" si="749">B44</f>
        <v>Islande</v>
      </c>
      <c r="AR38" s="45">
        <f t="shared" ref="AR38:AR40" si="750">D41</f>
        <v>0</v>
      </c>
      <c r="AS38" s="493"/>
      <c r="AT38" s="45">
        <f t="shared" ref="AT38" si="751">C44</f>
        <v>0</v>
      </c>
      <c r="AU38" s="45">
        <f t="shared" ref="AU38:AU39" si="752">C45</f>
        <v>0</v>
      </c>
      <c r="AW38" s="45" t="str">
        <f>IF(OR(VLOOKUP(B44,DK37:DL40,2,FALSE)=DL37,VLOOKUP(B44,DK37:DL40,2,FALSE)=DL39,VLOOKUP(B44,DK37:DL40,2,FALSE)=DL40),B44,"")</f>
        <v>Islande</v>
      </c>
      <c r="AX38" s="3" t="str">
        <f>IF(AND(AW38&lt;&gt;"",AX36&lt;&gt;""),IF(VLOOKUP(AW38,DK37:DL40,2,FALSE)=VLOOKUP(AX36,DK37:DL40,2,FALSE),IF(AR38&gt;AS37,"Vainqueur",IF(AR38&lt;AS37,"Perdant","Egalité")),"Pas d'égalité"),"")</f>
        <v>Egalité</v>
      </c>
      <c r="AY38" s="3"/>
      <c r="AZ38" s="3" t="str">
        <f>IF(AND(AW38&lt;&gt;"",AZ36&lt;&gt;""),IF(VLOOKUP(AW38,DK37:DL40,2,FALSE)=VLOOKUP(AZ36,DK37:DL40,2,FALSE),IF(AT38&gt;AS39,"Vainqueur",IF(AT38&lt;AS39,"Perdant","Egalité")),"Pas d'égalité"),"")</f>
        <v>Egalité</v>
      </c>
      <c r="BA38" s="3" t="str">
        <f>IF(AND(AW38&lt;&gt;"",BA36&lt;&gt;""),IF(VLOOKUP(AW38,DK37:DL40,2,FALSE)=VLOOKUP(BA36,DK37:DL40,2,FALSE),IF(AU38&gt;AS40,"Vainqueur",IF(AU38&lt;AS40,"Perdant","Egalité")),"Pas d'égalité"),"")</f>
        <v>Egalité</v>
      </c>
      <c r="BB38" s="3"/>
      <c r="BC38" s="45" t="str">
        <f t="shared" si="701"/>
        <v>Islande</v>
      </c>
      <c r="BD38" s="3">
        <f t="shared" si="702"/>
        <v>3</v>
      </c>
      <c r="BF38" s="45" t="str">
        <f t="shared" si="703"/>
        <v>Islande</v>
      </c>
      <c r="BG38" s="3">
        <f t="shared" ref="BG38:BG40" si="753">IF(OR(AX38="Vainqueur",AX38="Perdant",AX38="Egalité"),AR38,"")</f>
        <v>0</v>
      </c>
      <c r="BI38" s="3">
        <f t="shared" si="705"/>
        <v>0</v>
      </c>
      <c r="BJ38" s="3">
        <f t="shared" si="706"/>
        <v>0</v>
      </c>
      <c r="BL38" s="45" t="str">
        <f t="shared" si="707"/>
        <v>Islande</v>
      </c>
      <c r="BM38" s="3">
        <f t="shared" ref="BM38" si="754">IF(BL38&lt;&gt;"",SUM(BG38:BJ38)-SUM(BH37:BH40),"")</f>
        <v>0</v>
      </c>
      <c r="BO38" s="45" t="str">
        <f t="shared" ref="BO38:BO40" si="755">AW38</f>
        <v>Islande</v>
      </c>
      <c r="BP38" s="3">
        <f t="shared" si="710"/>
        <v>0</v>
      </c>
      <c r="BR38" s="3" t="str">
        <f t="shared" ref="BR38" si="756">B44</f>
        <v>Islande</v>
      </c>
      <c r="BS38" s="45">
        <f>IF(BD38&lt;&gt;"",SUM(DL38,BD38/10^2,BM38/10^4,BP38/10^6),DL38)</f>
        <v>0.03</v>
      </c>
      <c r="BT38" s="45">
        <f t="shared" ref="BT38" si="757">RANK(BS38,BS37:BS40)</f>
        <v>1</v>
      </c>
      <c r="BV38" s="45" t="str">
        <f t="shared" ref="BV38" si="758">IF(OR(VLOOKUP(B44,BR37:BS40,2,FALSE)=BS37,VLOOKUP(B44,BR37:BS40,2,FALSE)=BS39,VLOOKUP(B44,BR37:BS40,2,FALSE)=BS40),B44,"")</f>
        <v>Islande</v>
      </c>
      <c r="BW38" s="3" t="str">
        <f t="shared" ref="BW38" si="759">IF(AND(BV38&lt;&gt;"",BW36&lt;&gt;""),IF(VLOOKUP(BV38,BR37:BS40,2,FALSE)=VLOOKUP(BW36,BR37:BS40,2,FALSE),IF(AR38&gt;AS37,"Vainqueur",IF(AR38&lt;AS37,"Perdant","Egalité")),"Pas d'égalité"),"")</f>
        <v>Egalité</v>
      </c>
      <c r="BX38" s="3"/>
      <c r="BY38" s="3" t="str">
        <f t="shared" ref="BY38" si="760">IF(AND(BV38&lt;&gt;"",BY36&lt;&gt;""),IF(VLOOKUP(BV38,BR37:BS40,2,FALSE)=VLOOKUP(BY36,BR37:BS40,2,FALSE),IF(AT38&gt;AS39,"Vainqueur",IF(AT38&lt;AS39,"Perdant","Egalité")),"Pas d'égalité"),"")</f>
        <v>Egalité</v>
      </c>
      <c r="BZ38" s="3" t="str">
        <f t="shared" ref="BZ38" si="761">IF(AND(BV38&lt;&gt;"",BZ36&lt;&gt;""),IF(VLOOKUP(BV38,BR37:BS40,2,FALSE)=VLOOKUP(BZ36,BR37:BS40,2,FALSE),IF(AU38&gt;AS40,"Vainqueur",IF(AU38&lt;AS40,"Perdant","Egalité")),"Pas d'égalité"),"")</f>
        <v>Egalité</v>
      </c>
      <c r="CA38" s="3"/>
      <c r="CB38" s="45" t="str">
        <f t="shared" si="717"/>
        <v>Islande</v>
      </c>
      <c r="CC38" s="3">
        <f t="shared" si="718"/>
        <v>3</v>
      </c>
      <c r="CE38" s="45" t="str">
        <f t="shared" si="719"/>
        <v>Islande</v>
      </c>
      <c r="CF38" s="3">
        <f t="shared" ref="CF38:CF40" si="762">IF(OR(BW38="Vainqueur",BW38="Perdant",BW38="Egalité"),AR38,"")</f>
        <v>0</v>
      </c>
      <c r="CH38" s="3">
        <f t="shared" si="720"/>
        <v>0</v>
      </c>
      <c r="CI38" s="3">
        <f t="shared" si="721"/>
        <v>0</v>
      </c>
      <c r="CK38" s="45" t="str">
        <f t="shared" si="722"/>
        <v>Islande</v>
      </c>
      <c r="CL38" s="3">
        <f t="shared" ref="CL38" si="763">IF(CK38&lt;&gt;"",SUM(CF38:CI38)-SUM(CG37:CG40),"")</f>
        <v>0</v>
      </c>
      <c r="CN38" s="45" t="str">
        <f t="shared" ref="CN38:CN40" si="764">BV38</f>
        <v>Islande</v>
      </c>
      <c r="CO38" s="3">
        <f t="shared" si="725"/>
        <v>0</v>
      </c>
      <c r="CQ38" s="3" t="str">
        <f t="shared" ref="CQ38" si="765">B44</f>
        <v>Islande</v>
      </c>
      <c r="CR38" s="45">
        <f t="shared" si="727"/>
        <v>3.000003E-2</v>
      </c>
      <c r="CS38" s="45">
        <f t="shared" ref="CS38" si="766">RANK(CR38,CR37:CR40)</f>
        <v>1</v>
      </c>
      <c r="CU38" s="3" t="str">
        <f t="shared" ref="CU38" si="767">B44</f>
        <v>Islande</v>
      </c>
      <c r="CV38" s="3">
        <f t="shared" ref="CV38" si="768">SUM(AR38:AU38)-SUM(AS37:AS40)</f>
        <v>0</v>
      </c>
      <c r="CW38" s="3">
        <f t="shared" si="731"/>
        <v>0</v>
      </c>
      <c r="CY38" s="3" t="str">
        <f t="shared" ref="CY38" si="769">B44</f>
        <v>Islande</v>
      </c>
      <c r="CZ38" s="45">
        <f t="shared" ref="CZ38" si="770">IF(OR(CR38=CR37,CR38=CR39,CR38=CR40),SUM(CR38,CV38/10^12,CW38/10^14),CR38)</f>
        <v>3.000003E-2</v>
      </c>
      <c r="DA38" s="45">
        <f t="shared" ref="DA38" si="771">RANK(CZ38,CZ37:CZ40)</f>
        <v>1</v>
      </c>
      <c r="DB38" s="45"/>
      <c r="DC38" s="45" t="str">
        <f t="shared" ref="DC38" si="772">B44</f>
        <v>Islande</v>
      </c>
      <c r="DD38" s="45">
        <f t="shared" ref="DD38:DE38" si="773">SUM(G44,G45,I41)</f>
        <v>0</v>
      </c>
      <c r="DE38" s="45">
        <f t="shared" si="773"/>
        <v>0</v>
      </c>
      <c r="DG38" s="3" t="str">
        <f t="shared" ref="DG38" si="774">B44</f>
        <v>Islande</v>
      </c>
      <c r="DH38" s="45">
        <f t="shared" ref="DH38" si="775">IF(OR(CZ38=CZ37,CZ38=CZ39,CZ38=CZ40),SUM(CZ38,(-DD38-3*DE38)/10^15),CZ38)</f>
        <v>3.000003E-2</v>
      </c>
      <c r="DI38" s="45">
        <f t="shared" ref="DI38" si="776">RANK(DH38,DH37:DH40)</f>
        <v>1</v>
      </c>
      <c r="DK38" s="376" t="str">
        <f t="shared" ref="DK38" si="777">B44</f>
        <v>Islande</v>
      </c>
      <c r="DL38" s="377">
        <f t="shared" ref="DL38" si="778">COUNTIF(F41:F46,B44)*3+COUNTIF(F41,"Égalité")+COUNTIF(F44:F45,"Égalité")</f>
        <v>0</v>
      </c>
      <c r="DM38" s="377">
        <f t="shared" si="742"/>
        <v>0.03</v>
      </c>
      <c r="DN38" s="376">
        <f t="shared" si="743"/>
        <v>3.000003E-2</v>
      </c>
      <c r="DO38" s="376">
        <f t="shared" si="744"/>
        <v>3.000003E-2</v>
      </c>
      <c r="DP38" s="401">
        <f t="shared" si="745"/>
        <v>3.000003E-2</v>
      </c>
      <c r="DQ38" s="377" t="str">
        <f t="shared" ref="DQ38" si="779">B44</f>
        <v>Islande</v>
      </c>
    </row>
    <row r="39" spans="1:121" ht="15.75" customHeight="1" thickBot="1" x14ac:dyDescent="0.3">
      <c r="A39" s="639"/>
      <c r="B39" s="316" t="str">
        <f>B38</f>
        <v>Italie</v>
      </c>
      <c r="C39" s="134"/>
      <c r="D39" s="135"/>
      <c r="E39" s="360" t="str">
        <f>E37</f>
        <v>Suède</v>
      </c>
      <c r="F39" s="519" t="str">
        <f t="shared" si="20"/>
        <v>Non joué</v>
      </c>
      <c r="G39" s="453"/>
      <c r="H39" s="454"/>
      <c r="I39" s="435"/>
      <c r="J39" s="436"/>
      <c r="K39" s="100"/>
      <c r="L39" s="138">
        <v>4</v>
      </c>
      <c r="M39" s="138" t="str">
        <f t="shared" ref="M39" si="780">IF(COUNT(C35:D40)&lt;&gt;0,VLOOKUP(LARGE(DP31:DP34,4),DP31:DQ34,2,FALSE),"")</f>
        <v/>
      </c>
      <c r="N39" s="396">
        <f t="shared" ref="N39" si="781">IF(M39&lt;&gt;"",VLOOKUP(M39,DK31:DL34,2,FALSE),0)</f>
        <v>0</v>
      </c>
      <c r="O39" s="403" t="s">
        <v>179</v>
      </c>
      <c r="P39" s="609"/>
      <c r="Q39" s="611"/>
      <c r="R39" s="97"/>
      <c r="S39" s="97"/>
      <c r="T39" s="97"/>
      <c r="U39" s="97"/>
      <c r="V39" s="612" t="str">
        <f>IF(T33&lt;&gt;T35,IF(T33&gt;T35,S33,S35),"")</f>
        <v/>
      </c>
      <c r="W39" s="613"/>
      <c r="X39" s="97"/>
      <c r="Y39" s="97"/>
      <c r="Z39" s="97"/>
      <c r="AA39" s="98"/>
      <c r="AC39" s="574" t="s">
        <v>166</v>
      </c>
      <c r="AD39" s="575"/>
      <c r="AE39" s="575"/>
      <c r="AF39" s="575"/>
      <c r="AG39" s="575"/>
      <c r="AH39" s="575"/>
      <c r="AI39" s="575"/>
      <c r="AJ39" s="576"/>
      <c r="AQ39" s="45" t="str">
        <f t="shared" ref="AQ39" si="782">B46</f>
        <v>Autriche</v>
      </c>
      <c r="AR39" s="45">
        <f t="shared" si="750"/>
        <v>0</v>
      </c>
      <c r="AS39" s="45">
        <f t="shared" ref="AS39:AS40" si="783">D44</f>
        <v>0</v>
      </c>
      <c r="AT39" s="493"/>
      <c r="AU39" s="45">
        <f t="shared" si="752"/>
        <v>0</v>
      </c>
      <c r="AW39" s="45" t="str">
        <f>IF(OR(VLOOKUP(B46,DK37:DL40,2,FALSE)=DL37,VLOOKUP(B46,DK37:DL40,2,FALSE)=DL38,VLOOKUP(B46,DK37:DL40,2,FALSE)=DL40),B46,"")</f>
        <v>Autriche</v>
      </c>
      <c r="AX39" s="3" t="str">
        <f>IF(AND(AW39&lt;&gt;"",AX36&lt;&gt;""),IF(VLOOKUP(AW39,DK37:DL40,2,FALSE)=VLOOKUP(AX36,DK37:DL40,2,FALSE),IF(AR39&gt;AT37,"Vainqueur",IF(AR39&lt;AT37,"Perdant","Egalité")),"Pas d'égalité"),"")</f>
        <v>Egalité</v>
      </c>
      <c r="AY39" s="3" t="str">
        <f>IF(AND(AW39&lt;&gt;"",AY36&lt;&gt;""),IF(VLOOKUP(AW39,DK37:DL40,2,FALSE)=VLOOKUP(AY36,DK37:DL40,2,FALSE),IF(AS39&gt;AT38,"Vainqueur",IF(AS39&lt;AT38,"Perdant","Egalité")),"Pas d'égalité"),"")</f>
        <v>Egalité</v>
      </c>
      <c r="AZ39" s="3"/>
      <c r="BA39" s="3" t="str">
        <f>IF(AND(AW39&lt;&gt;"",BA36&lt;&gt;""),IF(VLOOKUP(AW39,DK37:DL40,2,FALSE)=VLOOKUP(BA36,DK37:DL40,2,FALSE),IF(AU39&gt;AT40,"Vainqueur",IF(AU39&lt;AT40,"Perdant","Egalité")),"Pas d'égalité"),"")</f>
        <v>Egalité</v>
      </c>
      <c r="BB39" s="3"/>
      <c r="BC39" s="45" t="str">
        <f t="shared" si="701"/>
        <v>Autriche</v>
      </c>
      <c r="BD39" s="3">
        <f t="shared" si="702"/>
        <v>3</v>
      </c>
      <c r="BF39" s="45" t="str">
        <f t="shared" si="703"/>
        <v>Autriche</v>
      </c>
      <c r="BG39" s="3">
        <f t="shared" si="753"/>
        <v>0</v>
      </c>
      <c r="BH39" s="3">
        <f t="shared" ref="BH39:BH40" si="784">IF(OR(AY39="Vainqueur",AY39="Perdant",AY39="Egalité"),AS39,"")</f>
        <v>0</v>
      </c>
      <c r="BJ39" s="3">
        <f t="shared" si="706"/>
        <v>0</v>
      </c>
      <c r="BL39" s="45" t="str">
        <f t="shared" si="707"/>
        <v>Autriche</v>
      </c>
      <c r="BM39" s="3">
        <f t="shared" ref="BM39" si="785">IF(BL39&lt;&gt;"",SUM(BG39:BJ39)-SUM(BI37:BI40),"")</f>
        <v>0</v>
      </c>
      <c r="BO39" s="45" t="str">
        <f t="shared" si="755"/>
        <v>Autriche</v>
      </c>
      <c r="BP39" s="3">
        <f t="shared" si="710"/>
        <v>0</v>
      </c>
      <c r="BR39" s="3" t="str">
        <f t="shared" ref="BR39" si="786">B46</f>
        <v>Autriche</v>
      </c>
      <c r="BS39" s="45">
        <f>IF(BD39&lt;&gt;"",SUM(DL39,BD39/10^2,BM39/10^4,BP39/10^6),DL39)</f>
        <v>0.03</v>
      </c>
      <c r="BT39" s="45">
        <f t="shared" ref="BT39" si="787">RANK(BS39,BS37:BS40)</f>
        <v>1</v>
      </c>
      <c r="BV39" s="45" t="str">
        <f t="shared" ref="BV39" si="788">IF(OR(VLOOKUP(B46,BR37:BS40,2,FALSE)=BS37,VLOOKUP(B46,BR37:BS40,2,FALSE)=BS38,VLOOKUP(B46,BR37:BS40,2,FALSE)=BS40),B46,"")</f>
        <v>Autriche</v>
      </c>
      <c r="BW39" s="3" t="str">
        <f t="shared" ref="BW39" si="789">IF(AND(BV39&lt;&gt;"",BW36&lt;&gt;""),IF(VLOOKUP(BV39,BR37:BS40,2,FALSE)=VLOOKUP(BW36,BR37:BS40,2,FALSE),IF(AR39&gt;AT37,"Vainqueur",IF(AR39&lt;AT37,"Perdant","Egalité")),"Pas d'égalité"),"")</f>
        <v>Egalité</v>
      </c>
      <c r="BX39" s="3" t="str">
        <f t="shared" ref="BX39" si="790">IF(AND(BV39&lt;&gt;"",BX36&lt;&gt;""),IF(VLOOKUP(BV39,BR37:BS40,2,FALSE)=VLOOKUP(BX36,BR37:BS40,2,FALSE),IF(AS39&gt;AT38,"Vainqueur",IF(AS39&lt;AT38,"Perdant","Egalité")),"Pas d'égalité"),"")</f>
        <v>Egalité</v>
      </c>
      <c r="BY39" s="3"/>
      <c r="BZ39" s="3" t="str">
        <f t="shared" ref="BZ39" si="791">IF(AND(BV39&lt;&gt;"",BZ36&lt;&gt;""),IF(VLOOKUP(BV39,BR37:BS40,2,FALSE)=VLOOKUP(BZ36,BR37:BS40,2,FALSE),IF(AU39&gt;AT40,"Vainqueur",IF(AU39&lt;AT40,"Perdant","Egalité")),"Pas d'égalité"),"")</f>
        <v>Egalité</v>
      </c>
      <c r="CA39" s="3"/>
      <c r="CB39" s="45" t="str">
        <f t="shared" si="717"/>
        <v>Autriche</v>
      </c>
      <c r="CC39" s="3">
        <f t="shared" si="718"/>
        <v>3</v>
      </c>
      <c r="CE39" s="45" t="str">
        <f t="shared" si="719"/>
        <v>Autriche</v>
      </c>
      <c r="CF39" s="3">
        <f t="shared" si="762"/>
        <v>0</v>
      </c>
      <c r="CG39" s="3">
        <f t="shared" ref="CG39:CG40" si="792">IF(OR(BX39="Vainqueur",BX39="Perdant",BX39="Egalité"),AS39,"")</f>
        <v>0</v>
      </c>
      <c r="CI39" s="3">
        <f t="shared" si="721"/>
        <v>0</v>
      </c>
      <c r="CK39" s="45" t="str">
        <f t="shared" si="722"/>
        <v>Autriche</v>
      </c>
      <c r="CL39" s="3">
        <f t="shared" ref="CL39" si="793">IF(CK39&lt;&gt;"",SUM(CF39:CI39)-SUM(CH37:CH40),"")</f>
        <v>0</v>
      </c>
      <c r="CN39" s="45" t="str">
        <f t="shared" si="764"/>
        <v>Autriche</v>
      </c>
      <c r="CO39" s="3">
        <f t="shared" si="725"/>
        <v>0</v>
      </c>
      <c r="CQ39" s="3" t="str">
        <f t="shared" ref="CQ39" si="794">B46</f>
        <v>Autriche</v>
      </c>
      <c r="CR39" s="45">
        <f t="shared" si="727"/>
        <v>3.000003E-2</v>
      </c>
      <c r="CS39" s="45">
        <f t="shared" ref="CS39" si="795">RANK(CR39,CR37:CR40)</f>
        <v>1</v>
      </c>
      <c r="CU39" s="3" t="str">
        <f t="shared" ref="CU39" si="796">B46</f>
        <v>Autriche</v>
      </c>
      <c r="CV39" s="3">
        <f t="shared" ref="CV39" si="797">SUM(AR39:AU39)-SUM(AT37:AT40)</f>
        <v>0</v>
      </c>
      <c r="CW39" s="3">
        <f t="shared" si="731"/>
        <v>0</v>
      </c>
      <c r="CY39" s="3" t="str">
        <f t="shared" ref="CY39" si="798">B46</f>
        <v>Autriche</v>
      </c>
      <c r="CZ39" s="45">
        <f t="shared" ref="CZ39" si="799">IF(OR(CR39=CR37,CR39=CR38,CR39=CR40),SUM(CR39,CV39/10^12,CW39/10^14),CR39)</f>
        <v>3.000003E-2</v>
      </c>
      <c r="DA39" s="45">
        <f t="shared" ref="DA39" si="800">RANK(CZ39,CZ37:CZ40)</f>
        <v>1</v>
      </c>
      <c r="DB39" s="45"/>
      <c r="DC39" s="45" t="str">
        <f t="shared" ref="DC39" si="801">B46</f>
        <v>Autriche</v>
      </c>
      <c r="DD39" s="45">
        <f t="shared" ref="DD39:DE39" si="802">SUM(G46,I42,I44)</f>
        <v>0</v>
      </c>
      <c r="DE39" s="45">
        <f t="shared" si="802"/>
        <v>0</v>
      </c>
      <c r="DG39" s="3" t="str">
        <f t="shared" ref="DG39" si="803">B46</f>
        <v>Autriche</v>
      </c>
      <c r="DH39" s="45">
        <f t="shared" ref="DH39" si="804">IF(OR(CZ39=CZ37,CZ39=CZ38,CZ39=CZ40),SUM(CZ39,(-DD39-3*DE39)/10^15),CZ39)</f>
        <v>3.000003E-2</v>
      </c>
      <c r="DI39" s="45">
        <f t="shared" ref="DI39" si="805">RANK(DH39,DH37:DH40)</f>
        <v>1</v>
      </c>
      <c r="DK39" s="376" t="str">
        <f t="shared" ref="DK39" si="806">B46</f>
        <v>Autriche</v>
      </c>
      <c r="DL39" s="377">
        <f t="shared" ref="DL39" si="807">COUNTIF(F41:F46,B46)*3+COUNTIF(F42,"Égalité")+COUNTIF(F44,"Égalité")+COUNTIF(F46,"Égalité")</f>
        <v>0</v>
      </c>
      <c r="DM39" s="377">
        <f t="shared" si="742"/>
        <v>0.03</v>
      </c>
      <c r="DN39" s="376">
        <f t="shared" si="743"/>
        <v>3.000003E-2</v>
      </c>
      <c r="DO39" s="376">
        <f t="shared" si="744"/>
        <v>3.000003E-2</v>
      </c>
      <c r="DP39" s="401">
        <f t="shared" si="745"/>
        <v>3.000003E-2</v>
      </c>
      <c r="DQ39" s="377" t="str">
        <f t="shared" ref="DQ39" si="808">B46</f>
        <v>Autriche</v>
      </c>
    </row>
    <row r="40" spans="1:121" ht="15.75" thickBot="1" x14ac:dyDescent="0.3">
      <c r="A40" s="640"/>
      <c r="B40" s="380" t="str">
        <f>'Matchs de Qualification'!C30</f>
        <v>Irlande</v>
      </c>
      <c r="C40" s="139"/>
      <c r="D40" s="140"/>
      <c r="E40" s="361" t="str">
        <f>E37</f>
        <v>Suède</v>
      </c>
      <c r="F40" s="520" t="str">
        <f t="shared" si="20"/>
        <v>Non joué</v>
      </c>
      <c r="G40" s="453"/>
      <c r="H40" s="454"/>
      <c r="I40" s="435"/>
      <c r="J40" s="436"/>
      <c r="K40" s="100"/>
      <c r="L40" s="97"/>
      <c r="M40" s="97"/>
      <c r="N40" s="97"/>
      <c r="O40" s="403"/>
      <c r="P40" s="97"/>
      <c r="Q40" s="97"/>
      <c r="R40" s="97"/>
      <c r="S40" s="97"/>
      <c r="T40" s="97"/>
      <c r="U40" s="97"/>
      <c r="V40" s="608"/>
      <c r="W40" s="610"/>
      <c r="X40" s="97"/>
      <c r="Y40" s="97"/>
      <c r="Z40" s="97"/>
      <c r="AA40" s="98"/>
      <c r="AQ40" s="45" t="str">
        <f t="shared" ref="AQ40" si="809">E43</f>
        <v>Hongrie</v>
      </c>
      <c r="AR40" s="45">
        <f t="shared" si="750"/>
        <v>0</v>
      </c>
      <c r="AS40" s="45">
        <f t="shared" si="783"/>
        <v>0</v>
      </c>
      <c r="AT40" s="45">
        <f t="shared" ref="AT40" si="810">D46</f>
        <v>0</v>
      </c>
      <c r="AU40" s="493"/>
      <c r="AW40" s="45" t="str">
        <f>IF(OR(VLOOKUP(E43,DK37:DL40,2,FALSE)=DL37,VLOOKUP(E43,DK37:DL40,2,FALSE)=DL38,VLOOKUP(E43,DK37:DL40,2,FALSE)=DL39),E43,"")</f>
        <v>Hongrie</v>
      </c>
      <c r="AX40" s="3" t="str">
        <f>IF(AND(AW40&lt;&gt;"",AX36&lt;&gt;""),IF(VLOOKUP(AW40,DK37:DL40,2,FALSE)=VLOOKUP(AX36,DK37:DL40,2,FALSE),IF(AR40&gt;AU37,"Vainqueur",IF(AR40&lt;AU37,"Perdant","Egalité")),"Pas d'égalité"),"")</f>
        <v>Egalité</v>
      </c>
      <c r="AY40" s="3" t="str">
        <f>IF(AND(AW40&lt;&gt;"",AY36&lt;&gt;""),IF(VLOOKUP(AW40,DK37:DL40,2,FALSE)=VLOOKUP(AY36,DK37:DL40,2,FALSE),IF(AS40&gt;AU38,"Vainqueur",IF(AS40&lt;AU38,"Perdant","Egalité")),"Pas d'égalité"),"")</f>
        <v>Egalité</v>
      </c>
      <c r="AZ40" s="3" t="str">
        <f>IF(AND(AW40&lt;&gt;"",AZ36&lt;&gt;""),IF(VLOOKUP(AW40,DK37:DL40,2,FALSE)=VLOOKUP(AZ36,DK37:DL40,2,FALSE),IF(AT40&gt;AU39,"Vainqueur",IF(AT40&lt;AU39,"Perdant","Egalité")),"Pas d'égalité"),"")</f>
        <v>Egalité</v>
      </c>
      <c r="BA40" s="3"/>
      <c r="BB40" s="3"/>
      <c r="BC40" s="45" t="str">
        <f t="shared" si="701"/>
        <v>Hongrie</v>
      </c>
      <c r="BD40" s="3">
        <f t="shared" si="702"/>
        <v>3</v>
      </c>
      <c r="BF40" s="45" t="str">
        <f t="shared" si="703"/>
        <v>Hongrie</v>
      </c>
      <c r="BG40" s="3">
        <f t="shared" si="753"/>
        <v>0</v>
      </c>
      <c r="BH40" s="3">
        <f t="shared" si="784"/>
        <v>0</v>
      </c>
      <c r="BI40" s="3">
        <f t="shared" ref="BI40" si="811">IF(OR(AZ40="Vainqueur",AZ40="Perdant",AZ40="Egalité"),AT40,"")</f>
        <v>0</v>
      </c>
      <c r="BL40" s="45" t="str">
        <f t="shared" si="707"/>
        <v>Hongrie</v>
      </c>
      <c r="BM40" s="3">
        <f t="shared" ref="BM40" si="812">IF(BL40&lt;&gt;"",SUM(BG40:BJ40)-SUM(BJ37:BJ40),"")</f>
        <v>0</v>
      </c>
      <c r="BO40" s="45" t="str">
        <f t="shared" si="755"/>
        <v>Hongrie</v>
      </c>
      <c r="BP40" s="3">
        <f t="shared" si="710"/>
        <v>0</v>
      </c>
      <c r="BR40" s="3" t="str">
        <f t="shared" ref="BR40" si="813">E43</f>
        <v>Hongrie</v>
      </c>
      <c r="BS40" s="45">
        <f>IF(BD40&lt;&gt;"",SUM(DL40,BD40/10^2,BM40/10^4,BP40/10^6),DL40)</f>
        <v>0.03</v>
      </c>
      <c r="BT40" s="45">
        <f t="shared" ref="BT40" si="814">RANK(BS40,BS37:BS40)</f>
        <v>1</v>
      </c>
      <c r="BV40" s="45" t="str">
        <f t="shared" ref="BV40" si="815">IF(OR(VLOOKUP(E43,BR37:BS40,2,FALSE)=BS37,VLOOKUP(E43,BR37:BS40,2,FALSE)=BS38,VLOOKUP(E43,BR37:BS40,2,FALSE)=BS39),E43,"")</f>
        <v>Hongrie</v>
      </c>
      <c r="BW40" s="3" t="str">
        <f t="shared" ref="BW40" si="816">IF(AND(BV40&lt;&gt;"",BW36&lt;&gt;""),IF(VLOOKUP(BV40,BR37:BS40,2,FALSE)=VLOOKUP(BW36,BR37:BS40,2,FALSE),IF(AR40&gt;AU37,"Vainqueur",IF(AR40&lt;AU37,"Perdant","Egalité")),"Pas d'égalité"),"")</f>
        <v>Egalité</v>
      </c>
      <c r="BX40" s="3" t="str">
        <f t="shared" ref="BX40" si="817">IF(AND(BV40&lt;&gt;"",BX36&lt;&gt;""),IF(VLOOKUP(BV40,BR37:BS40,2,FALSE)=VLOOKUP(BX36,BR37:BS40,2,FALSE),IF(AS40&gt;AU38,"Vainqueur",IF(AS40&lt;AU38,"Perdant","Egalité")),"Pas d'égalité"),"")</f>
        <v>Egalité</v>
      </c>
      <c r="BY40" s="3" t="str">
        <f t="shared" ref="BY40" si="818">IF(AND(BV40&lt;&gt;"",BY36&lt;&gt;""),IF(VLOOKUP(BV40,BR37:BS40,2,FALSE)=VLOOKUP(BY36,BR37:BS40,2,FALSE),IF(AT40&gt;AU39,"Vainqueur",IF(AT40&lt;AU39,"Perdant","Egalité")),"Pas d'égalité"),"")</f>
        <v>Egalité</v>
      </c>
      <c r="BZ40" s="3"/>
      <c r="CA40" s="3"/>
      <c r="CB40" s="45" t="str">
        <f t="shared" si="717"/>
        <v>Hongrie</v>
      </c>
      <c r="CC40" s="3">
        <f t="shared" si="718"/>
        <v>3</v>
      </c>
      <c r="CE40" s="45" t="str">
        <f t="shared" si="719"/>
        <v>Hongrie</v>
      </c>
      <c r="CF40" s="3">
        <f t="shared" si="762"/>
        <v>0</v>
      </c>
      <c r="CG40" s="3">
        <f t="shared" si="792"/>
        <v>0</v>
      </c>
      <c r="CH40" s="3">
        <f t="shared" ref="CH40" si="819">IF(OR(BY40="Vainqueur",BY40="Perdant",BY40="Egalité"),AT40,"")</f>
        <v>0</v>
      </c>
      <c r="CK40" s="45" t="str">
        <f t="shared" si="722"/>
        <v>Hongrie</v>
      </c>
      <c r="CL40" s="3">
        <f t="shared" ref="CL40" si="820">IF(CK40&lt;&gt;"",SUM(CF40:CI40)-SUM(CI37:CI40),"")</f>
        <v>0</v>
      </c>
      <c r="CN40" s="45" t="str">
        <f t="shared" si="764"/>
        <v>Hongrie</v>
      </c>
      <c r="CO40" s="3">
        <f t="shared" si="725"/>
        <v>0</v>
      </c>
      <c r="CQ40" s="3" t="str">
        <f t="shared" ref="CQ40" si="821">E43</f>
        <v>Hongrie</v>
      </c>
      <c r="CR40" s="45">
        <f t="shared" si="727"/>
        <v>3.000003E-2</v>
      </c>
      <c r="CS40" s="45">
        <f t="shared" ref="CS40" si="822">RANK(CR40,CR37:CR40)</f>
        <v>1</v>
      </c>
      <c r="CU40" s="3" t="str">
        <f t="shared" ref="CU40" si="823">E43</f>
        <v>Hongrie</v>
      </c>
      <c r="CV40" s="3">
        <f t="shared" ref="CV40" si="824">SUM(AR40:AU40)-SUM(AU37:AU40)</f>
        <v>0</v>
      </c>
      <c r="CW40" s="3">
        <f t="shared" si="731"/>
        <v>0</v>
      </c>
      <c r="CY40" s="3" t="str">
        <f t="shared" ref="CY40" si="825">E43</f>
        <v>Hongrie</v>
      </c>
      <c r="CZ40" s="45">
        <f t="shared" ref="CZ40" si="826">IF(OR(CR40=CR37,CR40=CR38,CR40=CR39),SUM(CR40,CV40/10^12,CW40/10^14),CR40)</f>
        <v>3.000003E-2</v>
      </c>
      <c r="DA40" s="45">
        <f t="shared" ref="DA40" si="827">RANK(CZ40,CZ37:CZ40)</f>
        <v>1</v>
      </c>
      <c r="DB40" s="45"/>
      <c r="DC40" s="45" t="str">
        <f t="shared" ref="DC40" si="828">E43</f>
        <v>Hongrie</v>
      </c>
      <c r="DD40" s="45">
        <f t="shared" ref="DD40:DE40" si="829">SUM(I43,I45,I46)</f>
        <v>0</v>
      </c>
      <c r="DE40" s="45">
        <f t="shared" si="829"/>
        <v>0</v>
      </c>
      <c r="DG40" s="3" t="str">
        <f t="shared" ref="DG40" si="830">E43</f>
        <v>Hongrie</v>
      </c>
      <c r="DH40" s="45">
        <f t="shared" ref="DH40" si="831">IF(OR(CZ40=CZ37,CZ40=CZ38,CZ40=CZ39),SUM(CZ40,(-DD40-3*DE40)/10^15),CZ40)</f>
        <v>3.000003E-2</v>
      </c>
      <c r="DI40" s="45">
        <f t="shared" ref="DI40" si="832">RANK(DH40,DH37:DH40)</f>
        <v>1</v>
      </c>
      <c r="DK40" s="377" t="str">
        <f t="shared" ref="DK40" si="833">E43</f>
        <v>Hongrie</v>
      </c>
      <c r="DL40" s="494">
        <f t="shared" ref="DL40" si="834">COUNTIF(F41:F46,E43)*3+COUNTIF(F43,"Égalité")+COUNTIF(F45:F46,"Égalité")</f>
        <v>0</v>
      </c>
      <c r="DM40" s="377">
        <f t="shared" si="742"/>
        <v>0.03</v>
      </c>
      <c r="DN40" s="376">
        <f t="shared" si="743"/>
        <v>3.000003E-2</v>
      </c>
      <c r="DO40" s="376">
        <f t="shared" si="744"/>
        <v>3.000003E-2</v>
      </c>
      <c r="DP40" s="401">
        <f t="shared" si="745"/>
        <v>3.000003E-2</v>
      </c>
      <c r="DQ40" s="377" t="str">
        <f t="shared" ref="DQ40" si="835">E43</f>
        <v>Hongrie</v>
      </c>
    </row>
    <row r="41" spans="1:121" ht="15.75" customHeight="1" thickBot="1" x14ac:dyDescent="0.3">
      <c r="A41" s="620" t="s">
        <v>121</v>
      </c>
      <c r="B41" s="381" t="str">
        <f>'Matchs de Qualification'!L28</f>
        <v>Portugal</v>
      </c>
      <c r="C41" s="208"/>
      <c r="D41" s="209"/>
      <c r="E41" s="362" t="str">
        <f>B44</f>
        <v>Islande</v>
      </c>
      <c r="F41" s="521" t="str">
        <f t="shared" si="20"/>
        <v>Non joué</v>
      </c>
      <c r="G41" s="457"/>
      <c r="H41" s="458"/>
      <c r="I41" s="439"/>
      <c r="J41" s="440"/>
      <c r="K41" s="100"/>
      <c r="L41" s="206" t="s">
        <v>115</v>
      </c>
      <c r="M41" s="370" t="s">
        <v>86</v>
      </c>
      <c r="N41" s="154" t="s">
        <v>94</v>
      </c>
      <c r="O41" s="403"/>
      <c r="P41" s="97"/>
      <c r="Q41" s="97"/>
      <c r="R41" s="97"/>
      <c r="S41" s="97"/>
      <c r="T41" s="97"/>
      <c r="U41" s="97"/>
      <c r="V41" s="608" t="str">
        <f>IF(T45&lt;&gt;T47,IF(T45&gt;T47,S45,S47),"")</f>
        <v/>
      </c>
      <c r="W41" s="610"/>
      <c r="X41" s="97"/>
      <c r="Y41" s="97"/>
      <c r="Z41" s="97"/>
      <c r="AA41" s="98"/>
      <c r="AC41" s="577" t="s">
        <v>167</v>
      </c>
      <c r="AD41" s="578"/>
      <c r="AE41" s="578"/>
      <c r="AF41" s="578"/>
      <c r="AG41" s="578"/>
      <c r="AH41" s="578"/>
      <c r="AI41" s="578"/>
      <c r="AJ41" s="579"/>
      <c r="AQ41" s="45"/>
      <c r="AR41" s="45"/>
      <c r="AS41" s="45"/>
      <c r="AY41" s="3"/>
      <c r="AZ41" s="3"/>
      <c r="BA41" s="3"/>
      <c r="BB41" s="3"/>
      <c r="BC41" s="3"/>
      <c r="BD41" s="3"/>
      <c r="BF41" s="3"/>
      <c r="BG41" s="3"/>
      <c r="BS41" s="45"/>
      <c r="BT41" s="45"/>
      <c r="BX41" s="3"/>
      <c r="BY41" s="3"/>
      <c r="BZ41" s="3"/>
      <c r="CA41" s="3"/>
      <c r="CB41" s="3"/>
      <c r="CC41" s="3"/>
      <c r="CE41" s="3"/>
      <c r="CF41" s="3"/>
      <c r="CR41" s="45"/>
      <c r="CS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</row>
    <row r="42" spans="1:121" ht="15.75" customHeight="1" thickBot="1" x14ac:dyDescent="0.3">
      <c r="A42" s="621"/>
      <c r="B42" s="317" t="str">
        <f>B41</f>
        <v>Portugal</v>
      </c>
      <c r="C42" s="142"/>
      <c r="D42" s="143"/>
      <c r="E42" s="363" t="str">
        <f>B46</f>
        <v>Autriche</v>
      </c>
      <c r="F42" s="522" t="str">
        <f t="shared" si="20"/>
        <v>Non joué</v>
      </c>
      <c r="G42" s="457"/>
      <c r="H42" s="458"/>
      <c r="I42" s="439"/>
      <c r="J42" s="440"/>
      <c r="K42" s="100"/>
      <c r="L42" s="145">
        <v>1</v>
      </c>
      <c r="M42" s="343" t="str">
        <f t="shared" ref="M42" si="836">IF(COUNT(C41:D46)&lt;&gt;0,VLOOKUP(MAX(DP37:DP40),DP37:DQ40,2,FALSE),"")</f>
        <v/>
      </c>
      <c r="N42" s="397">
        <f t="shared" ref="N42" si="837">IF(M42&lt;&gt;"",VLOOKUP(M42,DK37:DL40,2,FALSE),0)</f>
        <v>0</v>
      </c>
      <c r="O42" s="403" t="s">
        <v>180</v>
      </c>
      <c r="P42" s="612" t="str">
        <f>M12</f>
        <v/>
      </c>
      <c r="Q42" s="613"/>
      <c r="R42" s="97"/>
      <c r="S42" s="97"/>
      <c r="T42" s="97"/>
      <c r="U42" s="97"/>
      <c r="V42" s="609"/>
      <c r="W42" s="611"/>
      <c r="X42" s="97"/>
      <c r="Y42" s="97"/>
      <c r="Z42" s="97"/>
      <c r="AA42" s="98"/>
      <c r="AC42" s="580"/>
      <c r="AD42" s="581"/>
      <c r="AE42" s="581"/>
      <c r="AF42" s="581"/>
      <c r="AG42" s="581"/>
      <c r="AH42" s="581"/>
      <c r="AI42" s="581"/>
      <c r="AJ42" s="582"/>
      <c r="AQ42" s="45"/>
      <c r="AR42" s="45"/>
      <c r="AS42" s="45"/>
      <c r="AX42" s="377"/>
      <c r="AY42" s="377"/>
      <c r="BS42" s="45"/>
      <c r="BT42" s="45"/>
      <c r="BZ42" s="377"/>
      <c r="CA42" s="377"/>
      <c r="CR42" s="45"/>
      <c r="CS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</row>
    <row r="43" spans="1:121" ht="15.75" thickBot="1" x14ac:dyDescent="0.3">
      <c r="A43" s="621"/>
      <c r="B43" s="317" t="str">
        <f>B41</f>
        <v>Portugal</v>
      </c>
      <c r="C43" s="142"/>
      <c r="D43" s="143"/>
      <c r="E43" s="363" t="str">
        <f>'Matchs de Qualification'!L9</f>
        <v>Hongrie</v>
      </c>
      <c r="F43" s="523" t="str">
        <f t="shared" si="20"/>
        <v>Non joué</v>
      </c>
      <c r="G43" s="459"/>
      <c r="H43" s="460"/>
      <c r="I43" s="441"/>
      <c r="J43" s="442"/>
      <c r="K43" s="100"/>
      <c r="L43" s="146">
        <v>2</v>
      </c>
      <c r="M43" s="344" t="str">
        <f t="shared" ref="M43" si="838">IF(COUNT(C41:D46)&lt;&gt;0,VLOOKUP(LARGE(DP37:DP40,2),DP37:DQ40,2,FALSE),"")</f>
        <v/>
      </c>
      <c r="N43" s="398">
        <f t="shared" ref="N43" si="839">IF(M43&lt;&gt;"",VLOOKUP(M43,DK37:DL40,2,FALSE),0)</f>
        <v>0</v>
      </c>
      <c r="O43" s="403"/>
      <c r="P43" s="608"/>
      <c r="Q43" s="610"/>
      <c r="R43" s="97"/>
      <c r="S43" s="97"/>
      <c r="T43" s="97"/>
      <c r="U43" s="97"/>
      <c r="V43" s="97"/>
      <c r="W43" s="97"/>
      <c r="X43" s="97"/>
      <c r="Y43" s="97"/>
      <c r="Z43" s="97"/>
      <c r="AA43" s="98"/>
      <c r="AC43" s="580"/>
      <c r="AD43" s="581"/>
      <c r="AE43" s="581"/>
      <c r="AF43" s="581"/>
      <c r="AG43" s="581"/>
      <c r="AH43" s="581"/>
      <c r="AI43" s="581"/>
      <c r="AJ43" s="582"/>
      <c r="AQ43" s="45"/>
      <c r="AR43" s="45"/>
      <c r="AS43" s="45"/>
      <c r="AX43" s="377"/>
      <c r="AY43" s="377"/>
      <c r="BS43" s="45"/>
      <c r="BT43" s="45"/>
      <c r="BZ43" s="377"/>
      <c r="CA43" s="377"/>
      <c r="CR43" s="45"/>
      <c r="CS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</row>
    <row r="44" spans="1:121" ht="15.75" customHeight="1" thickBot="1" x14ac:dyDescent="0.3">
      <c r="A44" s="621"/>
      <c r="B44" s="317" t="str">
        <f>'Matchs de Qualification'!C7</f>
        <v>Islande</v>
      </c>
      <c r="C44" s="142"/>
      <c r="D44" s="143"/>
      <c r="E44" s="363" t="str">
        <f>B46</f>
        <v>Autriche</v>
      </c>
      <c r="F44" s="522" t="str">
        <f t="shared" si="20"/>
        <v>Non joué</v>
      </c>
      <c r="G44" s="457"/>
      <c r="H44" s="458"/>
      <c r="I44" s="439"/>
      <c r="J44" s="440"/>
      <c r="K44" s="100"/>
      <c r="L44" s="144">
        <v>3</v>
      </c>
      <c r="M44" s="345" t="str">
        <f t="shared" ref="M44" si="840">IF(COUNT(C41:D46)&lt;&gt;0,VLOOKUP(LARGE(DP37:DP40,3),DP37:DQ40,2,FALSE),"")</f>
        <v/>
      </c>
      <c r="N44" s="399">
        <f t="shared" ref="N44" si="841">IF(M44&lt;&gt;"",VLOOKUP(M44,DK37:DL40,2,FALSE),0)</f>
        <v>0</v>
      </c>
      <c r="O44" s="403"/>
      <c r="P44" s="608" t="str">
        <f>AT64</f>
        <v/>
      </c>
      <c r="Q44" s="610"/>
      <c r="R44" s="97"/>
      <c r="S44" s="97"/>
      <c r="T44" s="97"/>
      <c r="U44" s="97"/>
      <c r="V44" s="97"/>
      <c r="W44" s="97"/>
      <c r="X44" s="97"/>
      <c r="Y44" s="97"/>
      <c r="Z44" s="97"/>
      <c r="AA44" s="98"/>
      <c r="AC44" s="580"/>
      <c r="AD44" s="581"/>
      <c r="AE44" s="581"/>
      <c r="AF44" s="581"/>
      <c r="AG44" s="581"/>
      <c r="AH44" s="581"/>
      <c r="AI44" s="581"/>
      <c r="AJ44" s="582"/>
      <c r="AQ44" s="45"/>
      <c r="AR44" s="45"/>
      <c r="AS44" s="627" t="s">
        <v>131</v>
      </c>
      <c r="AT44" s="630" t="s">
        <v>147</v>
      </c>
      <c r="AU44" s="589" t="s">
        <v>148</v>
      </c>
      <c r="AV44" s="589" t="s">
        <v>149</v>
      </c>
      <c r="AW44" s="592" t="s">
        <v>150</v>
      </c>
      <c r="AX44" s="377"/>
      <c r="AY44" s="377"/>
      <c r="BS44" s="45"/>
      <c r="BT44" s="45"/>
      <c r="BZ44" s="377"/>
      <c r="CA44" s="377"/>
      <c r="CR44" s="45"/>
      <c r="CS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</row>
    <row r="45" spans="1:121" ht="15.75" thickBot="1" x14ac:dyDescent="0.3">
      <c r="A45" s="621"/>
      <c r="B45" s="317" t="str">
        <f>B44</f>
        <v>Islande</v>
      </c>
      <c r="C45" s="142"/>
      <c r="D45" s="143"/>
      <c r="E45" s="363" t="str">
        <f>E43</f>
        <v>Hongrie</v>
      </c>
      <c r="F45" s="522" t="str">
        <f t="shared" si="20"/>
        <v>Non joué</v>
      </c>
      <c r="G45" s="457"/>
      <c r="H45" s="458"/>
      <c r="I45" s="439"/>
      <c r="J45" s="440"/>
      <c r="K45" s="100"/>
      <c r="L45" s="147">
        <v>4</v>
      </c>
      <c r="M45" s="346" t="str">
        <f t="shared" ref="M45" si="842">IF(COUNT(C41:D46)&lt;&gt;0,VLOOKUP(LARGE(DP37:DP40,4),DP37:DQ40,2,FALSE),"")</f>
        <v/>
      </c>
      <c r="N45" s="400">
        <f t="shared" ref="N45" si="843">IF(M45&lt;&gt;"",VLOOKUP(M45,DK37:DL40,2,FALSE),0)</f>
        <v>0</v>
      </c>
      <c r="O45" s="403" t="s">
        <v>181</v>
      </c>
      <c r="P45" s="609"/>
      <c r="Q45" s="611"/>
      <c r="R45" s="97"/>
      <c r="S45" s="612" t="str">
        <f>IF(Q42&lt;&gt;Q44,IF(Q42&gt;Q44,P42,P44),"")</f>
        <v/>
      </c>
      <c r="T45" s="613"/>
      <c r="U45" s="97"/>
      <c r="V45" s="97"/>
      <c r="W45" s="97"/>
      <c r="X45" s="97"/>
      <c r="Y45" s="97"/>
      <c r="Z45" s="97"/>
      <c r="AA45" s="98"/>
      <c r="AC45" s="580"/>
      <c r="AD45" s="581"/>
      <c r="AE45" s="581"/>
      <c r="AF45" s="581"/>
      <c r="AG45" s="581"/>
      <c r="AH45" s="581"/>
      <c r="AI45" s="581"/>
      <c r="AJ45" s="582"/>
      <c r="AQ45" s="45"/>
      <c r="AR45" s="45"/>
      <c r="AS45" s="628"/>
      <c r="AT45" s="631"/>
      <c r="AU45" s="590"/>
      <c r="AV45" s="590"/>
      <c r="AW45" s="593"/>
      <c r="AX45" s="377"/>
      <c r="AY45" s="377"/>
      <c r="AZ45" s="4" t="s">
        <v>151</v>
      </c>
      <c r="BS45" s="45"/>
      <c r="BT45" s="45"/>
      <c r="BZ45" s="377"/>
      <c r="CA45" s="377"/>
      <c r="CR45" s="45"/>
      <c r="CS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</row>
    <row r="46" spans="1:121" ht="15.75" thickBot="1" x14ac:dyDescent="0.3">
      <c r="A46" s="622"/>
      <c r="B46" s="382" t="str">
        <f>'Matchs de Qualification'!L13</f>
        <v>Autriche</v>
      </c>
      <c r="C46" s="148"/>
      <c r="D46" s="210"/>
      <c r="E46" s="364" t="str">
        <f>E43</f>
        <v>Hongrie</v>
      </c>
      <c r="F46" s="524" t="str">
        <f t="shared" si="20"/>
        <v>Non joué</v>
      </c>
      <c r="G46" s="457"/>
      <c r="H46" s="458"/>
      <c r="I46" s="439"/>
      <c r="J46" s="440"/>
      <c r="K46" s="100"/>
      <c r="L46" s="97"/>
      <c r="M46" s="97"/>
      <c r="N46" s="97"/>
      <c r="O46" s="403"/>
      <c r="P46" s="97"/>
      <c r="Q46" s="97"/>
      <c r="R46" s="97"/>
      <c r="S46" s="608"/>
      <c r="T46" s="610"/>
      <c r="U46" s="97"/>
      <c r="V46" s="97"/>
      <c r="W46" s="97"/>
      <c r="X46" s="97"/>
      <c r="Y46" s="97"/>
      <c r="Z46" s="97"/>
      <c r="AA46" s="98"/>
      <c r="AC46" s="580"/>
      <c r="AD46" s="581"/>
      <c r="AE46" s="581"/>
      <c r="AF46" s="581"/>
      <c r="AG46" s="581"/>
      <c r="AH46" s="581"/>
      <c r="AI46" s="581"/>
      <c r="AJ46" s="582"/>
      <c r="AQ46" s="45"/>
      <c r="AR46" s="45"/>
      <c r="AS46" s="629"/>
      <c r="AT46" s="632"/>
      <c r="AU46" s="591"/>
      <c r="AV46" s="591"/>
      <c r="AW46" s="594"/>
      <c r="AX46" s="376"/>
      <c r="AY46" s="376"/>
      <c r="AZ46" s="60" t="str">
        <f>IF(OR("A"=$AD$20,"A"=$AD$21,"A"=$AD$22,"A"=$AD$23),"A","")</f>
        <v/>
      </c>
      <c r="BS46" s="45"/>
      <c r="BT46" s="45"/>
      <c r="BZ46" s="377"/>
      <c r="CA46" s="377"/>
      <c r="CR46" s="45"/>
      <c r="CS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</row>
    <row r="47" spans="1:121" ht="15.75" thickBot="1" x14ac:dyDescent="0.3">
      <c r="A47" s="623"/>
      <c r="B47" s="97"/>
      <c r="C47" s="97"/>
      <c r="D47" s="97"/>
      <c r="E47" s="97"/>
      <c r="F47" s="100"/>
      <c r="G47" s="100"/>
      <c r="H47" s="100"/>
      <c r="I47" s="100"/>
      <c r="J47" s="100"/>
      <c r="K47" s="100"/>
      <c r="L47" s="207"/>
      <c r="M47" s="97"/>
      <c r="N47" s="97"/>
      <c r="O47" s="403"/>
      <c r="P47" s="97"/>
      <c r="Q47" s="97"/>
      <c r="R47" s="97"/>
      <c r="S47" s="608" t="str">
        <f>IF(Q48&lt;&gt;Q50,IF(Q48&gt;Q50,P48,P50),"")</f>
        <v/>
      </c>
      <c r="T47" s="610"/>
      <c r="U47" s="97"/>
      <c r="V47" s="97"/>
      <c r="W47" s="97"/>
      <c r="X47" s="97"/>
      <c r="Y47" s="97"/>
      <c r="Z47" s="97"/>
      <c r="AA47" s="98"/>
      <c r="AC47" s="580"/>
      <c r="AD47" s="581"/>
      <c r="AE47" s="581"/>
      <c r="AF47" s="581"/>
      <c r="AG47" s="581"/>
      <c r="AH47" s="581"/>
      <c r="AI47" s="581"/>
      <c r="AJ47" s="582"/>
      <c r="AQ47" s="45"/>
      <c r="AR47" s="45"/>
      <c r="AS47" s="495" t="s">
        <v>132</v>
      </c>
      <c r="AT47" s="496" t="s">
        <v>118</v>
      </c>
      <c r="AU47" s="497" t="s">
        <v>119</v>
      </c>
      <c r="AV47" s="497" t="s">
        <v>114</v>
      </c>
      <c r="AW47" s="498" t="s">
        <v>117</v>
      </c>
      <c r="AX47" s="377"/>
      <c r="AY47" s="377"/>
      <c r="AZ47" s="61" t="str">
        <f>IF(OR("B"=$AD$20,"B"=$AD$21,"B"=$AD$22,"B"=$AD$23),"B","")</f>
        <v/>
      </c>
      <c r="BS47" s="45"/>
      <c r="BT47" s="45"/>
      <c r="BZ47" s="377"/>
      <c r="CA47" s="377"/>
      <c r="CR47" s="45"/>
      <c r="CS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</row>
    <row r="48" spans="1:121" ht="15.75" thickBot="1" x14ac:dyDescent="0.3">
      <c r="A48" s="623"/>
      <c r="B48" s="97"/>
      <c r="C48" s="97"/>
      <c r="D48" s="97"/>
      <c r="E48" s="97"/>
      <c r="F48" s="100"/>
      <c r="G48" s="100"/>
      <c r="H48" s="100"/>
      <c r="I48" s="100"/>
      <c r="J48" s="100"/>
      <c r="K48" s="100"/>
      <c r="L48" s="100"/>
      <c r="M48" s="97"/>
      <c r="N48" s="97"/>
      <c r="O48" s="403" t="s">
        <v>182</v>
      </c>
      <c r="P48" s="612" t="str">
        <f>M19</f>
        <v/>
      </c>
      <c r="Q48" s="613"/>
      <c r="R48" s="97"/>
      <c r="S48" s="609"/>
      <c r="T48" s="611"/>
      <c r="U48" s="97"/>
      <c r="V48" s="97"/>
      <c r="W48" s="97"/>
      <c r="X48" s="97"/>
      <c r="Y48" s="97"/>
      <c r="Z48" s="97"/>
      <c r="AA48" s="98"/>
      <c r="AC48" s="583"/>
      <c r="AD48" s="584"/>
      <c r="AE48" s="584"/>
      <c r="AF48" s="584"/>
      <c r="AG48" s="584"/>
      <c r="AH48" s="584"/>
      <c r="AI48" s="584"/>
      <c r="AJ48" s="585"/>
      <c r="AQ48" s="45"/>
      <c r="AR48" s="45"/>
      <c r="AS48" s="499" t="s">
        <v>133</v>
      </c>
      <c r="AT48" s="500" t="s">
        <v>118</v>
      </c>
      <c r="AU48" s="501" t="s">
        <v>114</v>
      </c>
      <c r="AV48" s="501" t="s">
        <v>117</v>
      </c>
      <c r="AW48" s="502" t="s">
        <v>120</v>
      </c>
      <c r="AX48" s="377"/>
      <c r="AY48" s="377"/>
      <c r="AZ48" s="61" t="str">
        <f>IF(OR("C"=$AD$20,"C"=$AD$21,"C"=$AD$22,"C"=$AD$23),"C","")</f>
        <v/>
      </c>
      <c r="BS48" s="45"/>
      <c r="BT48" s="45"/>
      <c r="BZ48" s="377"/>
      <c r="CA48" s="377"/>
      <c r="CR48" s="45"/>
      <c r="CS48" s="45"/>
    </row>
    <row r="49" spans="1:97" x14ac:dyDescent="0.25">
      <c r="A49" s="623"/>
      <c r="B49" s="97"/>
      <c r="C49" s="97"/>
      <c r="D49" s="97"/>
      <c r="E49" s="97"/>
      <c r="F49" s="100"/>
      <c r="G49" s="100"/>
      <c r="H49" s="100"/>
      <c r="I49" s="100"/>
      <c r="J49" s="100"/>
      <c r="K49" s="100"/>
      <c r="L49" s="100"/>
      <c r="M49" s="97"/>
      <c r="N49" s="97"/>
      <c r="O49" s="403"/>
      <c r="P49" s="608"/>
      <c r="Q49" s="610"/>
      <c r="R49" s="97"/>
      <c r="S49" s="97"/>
      <c r="T49" s="97"/>
      <c r="U49" s="97"/>
      <c r="V49" s="97"/>
      <c r="W49" s="97"/>
      <c r="X49" s="97"/>
      <c r="Y49" s="97"/>
      <c r="Z49" s="97"/>
      <c r="AA49" s="98"/>
      <c r="AQ49" s="45"/>
      <c r="AR49" s="45"/>
      <c r="AS49" s="503" t="s">
        <v>134</v>
      </c>
      <c r="AT49" s="504" t="s">
        <v>118</v>
      </c>
      <c r="AU49" s="505" t="s">
        <v>114</v>
      </c>
      <c r="AV49" s="505" t="s">
        <v>117</v>
      </c>
      <c r="AW49" s="506" t="s">
        <v>121</v>
      </c>
      <c r="AX49" s="377"/>
      <c r="AY49" s="377"/>
      <c r="AZ49" s="61" t="str">
        <f>IF(OR("D"=$AD$20,"D"=$AD$21,"D"=$AD$22,"D"=$AD$23),"D","")</f>
        <v/>
      </c>
      <c r="BS49" s="45"/>
      <c r="BT49" s="45"/>
      <c r="BZ49" s="377"/>
      <c r="CA49" s="377"/>
      <c r="CR49" s="45"/>
      <c r="CS49" s="45"/>
    </row>
    <row r="50" spans="1:97" x14ac:dyDescent="0.25">
      <c r="A50" s="623"/>
      <c r="B50" s="97"/>
      <c r="C50" s="97"/>
      <c r="D50" s="97"/>
      <c r="E50" s="97"/>
      <c r="F50" s="100"/>
      <c r="G50" s="100"/>
      <c r="H50" s="100"/>
      <c r="I50" s="100"/>
      <c r="J50" s="100"/>
      <c r="K50" s="100"/>
      <c r="L50" s="100"/>
      <c r="M50" s="97"/>
      <c r="N50" s="97"/>
      <c r="O50" s="403"/>
      <c r="P50" s="608" t="str">
        <f>M43</f>
        <v/>
      </c>
      <c r="Q50" s="610"/>
      <c r="R50" s="97"/>
      <c r="S50" s="97"/>
      <c r="T50" s="97"/>
      <c r="U50" s="97"/>
      <c r="V50" s="97"/>
      <c r="W50" s="97"/>
      <c r="X50" s="97"/>
      <c r="Y50" s="97"/>
      <c r="Z50" s="97"/>
      <c r="AA50" s="98"/>
      <c r="AQ50" s="45"/>
      <c r="AR50" s="45"/>
      <c r="AS50" s="503" t="s">
        <v>135</v>
      </c>
      <c r="AT50" s="500" t="s">
        <v>119</v>
      </c>
      <c r="AU50" s="501" t="s">
        <v>114</v>
      </c>
      <c r="AV50" s="507" t="s">
        <v>117</v>
      </c>
      <c r="AW50" s="508" t="s">
        <v>120</v>
      </c>
      <c r="AX50" s="377"/>
      <c r="AY50" s="377"/>
      <c r="AZ50" s="61" t="str">
        <f>IF(OR("E"=$AD$20,"E"=$AD$21,"E"=$AD$22,"E"=$AD$23),"E","")</f>
        <v/>
      </c>
      <c r="BS50" s="45"/>
      <c r="BT50" s="45"/>
      <c r="BZ50" s="377"/>
      <c r="CA50" s="377"/>
      <c r="CR50" s="45"/>
      <c r="CS50" s="45"/>
    </row>
    <row r="51" spans="1:97" ht="15.75" thickBot="1" x14ac:dyDescent="0.3">
      <c r="A51" s="623"/>
      <c r="B51" s="97"/>
      <c r="C51" s="97"/>
      <c r="D51" s="97"/>
      <c r="E51" s="97"/>
      <c r="F51" s="100"/>
      <c r="G51" s="100"/>
      <c r="H51" s="100"/>
      <c r="I51" s="100"/>
      <c r="J51" s="100"/>
      <c r="K51" s="100"/>
      <c r="L51" s="100"/>
      <c r="M51" s="97"/>
      <c r="N51" s="100"/>
      <c r="O51" s="403" t="s">
        <v>183</v>
      </c>
      <c r="P51" s="609"/>
      <c r="Q51" s="611"/>
      <c r="R51" s="97"/>
      <c r="S51" s="97"/>
      <c r="T51" s="97"/>
      <c r="U51" s="97"/>
      <c r="V51" s="97"/>
      <c r="W51" s="97"/>
      <c r="X51" s="97"/>
      <c r="Y51" s="97"/>
      <c r="Z51" s="97"/>
      <c r="AA51" s="98"/>
      <c r="AQ51" s="45"/>
      <c r="AR51" s="45"/>
      <c r="AS51" s="503" t="s">
        <v>136</v>
      </c>
      <c r="AT51" s="500" t="s">
        <v>119</v>
      </c>
      <c r="AU51" s="501" t="s">
        <v>114</v>
      </c>
      <c r="AV51" s="501" t="s">
        <v>117</v>
      </c>
      <c r="AW51" s="508" t="s">
        <v>121</v>
      </c>
      <c r="AX51" s="377"/>
      <c r="AY51" s="377"/>
      <c r="AZ51" s="19" t="str">
        <f>IF(OR("F"=$AD$20,"F"=$AD$21,"F"=$AD$22,"F"=$AD$23),"F","")</f>
        <v/>
      </c>
      <c r="BS51" s="45"/>
      <c r="BT51" s="45"/>
      <c r="BZ51" s="377"/>
      <c r="CA51" s="377"/>
      <c r="CR51" s="45"/>
      <c r="CS51" s="45"/>
    </row>
    <row r="52" spans="1:97" ht="15.75" thickBot="1" x14ac:dyDescent="0.3">
      <c r="A52" s="624"/>
      <c r="B52" s="150"/>
      <c r="C52" s="150"/>
      <c r="D52" s="150"/>
      <c r="E52" s="150"/>
      <c r="F52" s="149"/>
      <c r="G52" s="149"/>
      <c r="H52" s="149"/>
      <c r="I52" s="149"/>
      <c r="J52" s="149"/>
      <c r="K52" s="149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1"/>
      <c r="AQ52" s="45"/>
      <c r="AR52" s="45"/>
      <c r="AS52" s="499" t="s">
        <v>137</v>
      </c>
      <c r="AT52" s="500" t="s">
        <v>120</v>
      </c>
      <c r="AU52" s="501" t="s">
        <v>114</v>
      </c>
      <c r="AV52" s="501" t="s">
        <v>117</v>
      </c>
      <c r="AW52" s="508" t="s">
        <v>121</v>
      </c>
      <c r="AX52" s="376"/>
      <c r="AY52" s="376"/>
      <c r="BZ52" s="377"/>
      <c r="CA52" s="377"/>
      <c r="CR52" s="45"/>
      <c r="CS52" s="45"/>
    </row>
    <row r="53" spans="1:97" x14ac:dyDescent="0.25">
      <c r="AQ53" s="45"/>
      <c r="AR53" s="45"/>
      <c r="AS53" s="499" t="s">
        <v>138</v>
      </c>
      <c r="AT53" s="500" t="s">
        <v>118</v>
      </c>
      <c r="AU53" s="501" t="s">
        <v>119</v>
      </c>
      <c r="AV53" s="501" t="s">
        <v>114</v>
      </c>
      <c r="AW53" s="508" t="s">
        <v>120</v>
      </c>
      <c r="AX53" s="376"/>
      <c r="AY53" s="376"/>
      <c r="AZ53" s="25" t="s">
        <v>88</v>
      </c>
      <c r="BZ53" s="377"/>
      <c r="CA53" s="377"/>
      <c r="CR53" s="45"/>
      <c r="CS53" s="45"/>
    </row>
    <row r="54" spans="1:97" ht="15.75" thickBot="1" x14ac:dyDescent="0.3">
      <c r="AQ54" s="45"/>
      <c r="AR54" s="45"/>
      <c r="AS54" s="499" t="s">
        <v>139</v>
      </c>
      <c r="AT54" s="500" t="s">
        <v>118</v>
      </c>
      <c r="AU54" s="501" t="s">
        <v>119</v>
      </c>
      <c r="AV54" s="501" t="s">
        <v>114</v>
      </c>
      <c r="AW54" s="502" t="s">
        <v>121</v>
      </c>
      <c r="AX54" s="376"/>
      <c r="AY54" s="376"/>
      <c r="AZ54" s="15" t="str">
        <f>CONCATENATE(AZ46,AZ47,AZ48,AZ49,AZ50,AZ51)</f>
        <v/>
      </c>
      <c r="BZ54" s="377"/>
      <c r="CA54" s="377"/>
      <c r="CR54" s="45"/>
      <c r="CS54" s="45"/>
    </row>
    <row r="55" spans="1:97" x14ac:dyDescent="0.25">
      <c r="AQ55" s="45"/>
      <c r="AR55" s="45"/>
      <c r="AS55" s="503" t="s">
        <v>140</v>
      </c>
      <c r="AT55" s="504" t="s">
        <v>118</v>
      </c>
      <c r="AU55" s="505" t="s">
        <v>114</v>
      </c>
      <c r="AV55" s="505" t="s">
        <v>121</v>
      </c>
      <c r="AW55" s="506" t="s">
        <v>120</v>
      </c>
      <c r="BZ55" s="377"/>
      <c r="CA55" s="377"/>
      <c r="CR55" s="45"/>
      <c r="CS55" s="45"/>
    </row>
    <row r="56" spans="1:97" x14ac:dyDescent="0.25">
      <c r="AQ56" s="45"/>
      <c r="AR56" s="45"/>
      <c r="AS56" s="503" t="s">
        <v>141</v>
      </c>
      <c r="AT56" s="504" t="s">
        <v>119</v>
      </c>
      <c r="AU56" s="505" t="s">
        <v>114</v>
      </c>
      <c r="AV56" s="505" t="s">
        <v>121</v>
      </c>
      <c r="AW56" s="506" t="s">
        <v>120</v>
      </c>
      <c r="BZ56" s="377"/>
      <c r="CA56" s="377"/>
      <c r="CR56" s="45"/>
      <c r="CS56" s="45"/>
    </row>
    <row r="57" spans="1:97" x14ac:dyDescent="0.25">
      <c r="AQ57" s="45"/>
      <c r="AR57" s="45"/>
      <c r="AS57" s="503" t="s">
        <v>143</v>
      </c>
      <c r="AT57" s="504" t="s">
        <v>118</v>
      </c>
      <c r="AU57" s="505" t="s">
        <v>119</v>
      </c>
      <c r="AV57" s="505" t="s">
        <v>117</v>
      </c>
      <c r="AW57" s="506" t="s">
        <v>120</v>
      </c>
      <c r="BZ57" s="377"/>
      <c r="CA57" s="377"/>
      <c r="CR57" s="45"/>
      <c r="CS57" s="45"/>
    </row>
    <row r="58" spans="1:97" x14ac:dyDescent="0.25">
      <c r="AQ58" s="45"/>
      <c r="AR58" s="45"/>
      <c r="AS58" s="11" t="s">
        <v>142</v>
      </c>
      <c r="AT58" s="12" t="s">
        <v>118</v>
      </c>
      <c r="AU58" s="13" t="s">
        <v>119</v>
      </c>
      <c r="AV58" s="13" t="s">
        <v>117</v>
      </c>
      <c r="AW58" s="14" t="s">
        <v>121</v>
      </c>
      <c r="BZ58" s="377"/>
      <c r="CA58" s="377"/>
      <c r="CR58" s="45"/>
      <c r="CS58" s="45"/>
    </row>
    <row r="59" spans="1:97" x14ac:dyDescent="0.25">
      <c r="AQ59" s="45"/>
      <c r="AR59" s="45"/>
      <c r="AS59" s="11" t="s">
        <v>144</v>
      </c>
      <c r="AT59" s="12" t="s">
        <v>120</v>
      </c>
      <c r="AU59" s="13" t="s">
        <v>118</v>
      </c>
      <c r="AV59" s="13" t="s">
        <v>117</v>
      </c>
      <c r="AW59" s="14" t="s">
        <v>121</v>
      </c>
      <c r="BZ59" s="377"/>
      <c r="CA59" s="377"/>
      <c r="CR59" s="45"/>
      <c r="CS59" s="45"/>
    </row>
    <row r="60" spans="1:97" x14ac:dyDescent="0.25">
      <c r="AQ60" s="45"/>
      <c r="AR60" s="45"/>
      <c r="AS60" s="11" t="s">
        <v>145</v>
      </c>
      <c r="AT60" s="12" t="s">
        <v>120</v>
      </c>
      <c r="AU60" s="13" t="s">
        <v>119</v>
      </c>
      <c r="AV60" s="13" t="s">
        <v>117</v>
      </c>
      <c r="AW60" s="14" t="s">
        <v>121</v>
      </c>
      <c r="BZ60" s="377"/>
      <c r="CA60" s="377"/>
      <c r="CR60" s="45"/>
      <c r="CS60" s="45"/>
    </row>
    <row r="61" spans="1:97" ht="15.75" thickBot="1" x14ac:dyDescent="0.3">
      <c r="AQ61" s="45"/>
      <c r="AR61" s="45"/>
      <c r="AS61" s="15" t="s">
        <v>146</v>
      </c>
      <c r="AT61" s="16" t="s">
        <v>118</v>
      </c>
      <c r="AU61" s="17" t="s">
        <v>119</v>
      </c>
      <c r="AV61" s="17" t="s">
        <v>121</v>
      </c>
      <c r="AW61" s="24" t="s">
        <v>120</v>
      </c>
      <c r="BZ61" s="377"/>
      <c r="CA61" s="377"/>
    </row>
    <row r="62" spans="1:97" ht="15.75" thickBot="1" x14ac:dyDescent="0.3">
      <c r="AQ62" s="45"/>
      <c r="AR62" s="45"/>
      <c r="AS62" s="45"/>
      <c r="BZ62" s="377"/>
      <c r="CA62" s="377"/>
    </row>
    <row r="63" spans="1:97" x14ac:dyDescent="0.25">
      <c r="AR63" s="625" t="s">
        <v>195</v>
      </c>
      <c r="AS63" s="625" t="b">
        <f>IF(LEN(AZ54)=4,AZ54,FALSE)</f>
        <v>0</v>
      </c>
      <c r="AT63" s="509" t="b">
        <f>IF($AS$63&lt;&gt;FALSE,VLOOKUP($AS$63,$AS$47:$AW$61,2,FALSE),FALSE)</f>
        <v>0</v>
      </c>
      <c r="AU63" s="20" t="b">
        <f>IF($AS$63&lt;&gt;FALSE,VLOOKUP($AS$63,$AS$47:$AW$61,3,FALSE),FALSE)</f>
        <v>0</v>
      </c>
      <c r="AV63" s="20" t="b">
        <f>IF($AS$63&lt;&gt;FALSE,VLOOKUP($AS$63,$AS$47:$AW$61,4,FALSE),FALSE)</f>
        <v>0</v>
      </c>
      <c r="AW63" s="21" t="b">
        <f>IF($AS$63&lt;&gt;FALSE,VLOOKUP($AS$63,$AS$47:$AW$61,5,FALSE),FALSE)</f>
        <v>0</v>
      </c>
      <c r="BZ63" s="377"/>
      <c r="CA63" s="377"/>
    </row>
    <row r="64" spans="1:97" ht="15.75" thickBot="1" x14ac:dyDescent="0.3">
      <c r="AR64" s="626"/>
      <c r="AS64" s="626"/>
      <c r="AT64" s="23" t="str">
        <f>IF(AT63&lt;&gt;FALSE,VLOOKUP(AT63,$AC$7:$AD$12,2,FALSE),"")</f>
        <v/>
      </c>
      <c r="AU64" s="17" t="str">
        <f t="shared" ref="AU64:AW64" si="844">IF(AU63&lt;&gt;FALSE,VLOOKUP(AU63,$AC$7:$AD$12,2,FALSE),"")</f>
        <v/>
      </c>
      <c r="AV64" s="17" t="str">
        <f t="shared" si="844"/>
        <v/>
      </c>
      <c r="AW64" s="24" t="str">
        <f t="shared" si="844"/>
        <v/>
      </c>
      <c r="BZ64" s="377"/>
      <c r="CA64" s="377"/>
    </row>
    <row r="65" spans="78:79" x14ac:dyDescent="0.25">
      <c r="BZ65" s="377"/>
      <c r="CA65" s="377"/>
    </row>
    <row r="66" spans="78:79" x14ac:dyDescent="0.25">
      <c r="BZ66" s="377"/>
      <c r="CA66" s="377"/>
    </row>
    <row r="67" spans="78:79" x14ac:dyDescent="0.25">
      <c r="BZ67" s="377"/>
      <c r="CA67" s="377"/>
    </row>
    <row r="68" spans="78:79" x14ac:dyDescent="0.25">
      <c r="BZ68" s="377"/>
      <c r="CA68" s="377"/>
    </row>
    <row r="69" spans="78:79" x14ac:dyDescent="0.25">
      <c r="BZ69" s="377"/>
      <c r="CA69" s="377"/>
    </row>
  </sheetData>
  <mergeCells count="110">
    <mergeCell ref="DG4:DI4"/>
    <mergeCell ref="A35:A40"/>
    <mergeCell ref="Y27:Y28"/>
    <mergeCell ref="Z27:Z28"/>
    <mergeCell ref="Y29:Y30"/>
    <mergeCell ref="Z29:Z30"/>
    <mergeCell ref="P30:P31"/>
    <mergeCell ref="Q30:Q31"/>
    <mergeCell ref="DK4:DQ4"/>
    <mergeCell ref="CB4:CC4"/>
    <mergeCell ref="A23:A28"/>
    <mergeCell ref="P36:P37"/>
    <mergeCell ref="Q36:Q37"/>
    <mergeCell ref="A29:A34"/>
    <mergeCell ref="L4:N4"/>
    <mergeCell ref="AR63:AR64"/>
    <mergeCell ref="AS63:AS64"/>
    <mergeCell ref="AS44:AS46"/>
    <mergeCell ref="AT44:AT46"/>
    <mergeCell ref="AU44:AU46"/>
    <mergeCell ref="P6:P7"/>
    <mergeCell ref="Q6:Q7"/>
    <mergeCell ref="BR4:BT4"/>
    <mergeCell ref="BV4:BZ4"/>
    <mergeCell ref="AW4:BA4"/>
    <mergeCell ref="BF4:BJ4"/>
    <mergeCell ref="Y26:Z26"/>
    <mergeCell ref="P4:Q4"/>
    <mergeCell ref="S4:T4"/>
    <mergeCell ref="V4:W4"/>
    <mergeCell ref="Y4:Z4"/>
    <mergeCell ref="S23:S24"/>
    <mergeCell ref="T23:T24"/>
    <mergeCell ref="P24:P25"/>
    <mergeCell ref="Q24:Q25"/>
    <mergeCell ref="P26:P27"/>
    <mergeCell ref="Q26:Q27"/>
    <mergeCell ref="S35:S36"/>
    <mergeCell ref="T35:T36"/>
    <mergeCell ref="A41:A46"/>
    <mergeCell ref="A47:A52"/>
    <mergeCell ref="S47:S48"/>
    <mergeCell ref="T47:T48"/>
    <mergeCell ref="P48:P49"/>
    <mergeCell ref="Q48:Q49"/>
    <mergeCell ref="P50:P51"/>
    <mergeCell ref="Q50:Q51"/>
    <mergeCell ref="P44:P45"/>
    <mergeCell ref="Q44:Q45"/>
    <mergeCell ref="S45:S46"/>
    <mergeCell ref="T45:T46"/>
    <mergeCell ref="V41:V42"/>
    <mergeCell ref="W41:W42"/>
    <mergeCell ref="P42:P43"/>
    <mergeCell ref="Q42:Q43"/>
    <mergeCell ref="T33:T34"/>
    <mergeCell ref="P32:P33"/>
    <mergeCell ref="Q32:Q33"/>
    <mergeCell ref="S33:S34"/>
    <mergeCell ref="P20:P21"/>
    <mergeCell ref="Q20:Q21"/>
    <mergeCell ref="S21:S22"/>
    <mergeCell ref="T21:T22"/>
    <mergeCell ref="V39:V40"/>
    <mergeCell ref="W39:W40"/>
    <mergeCell ref="P38:P39"/>
    <mergeCell ref="Q38:Q39"/>
    <mergeCell ref="A2:AA3"/>
    <mergeCell ref="AW3:BP3"/>
    <mergeCell ref="S11:S12"/>
    <mergeCell ref="T11:T12"/>
    <mergeCell ref="P12:P13"/>
    <mergeCell ref="Q12:Q13"/>
    <mergeCell ref="P18:P19"/>
    <mergeCell ref="Q18:Q19"/>
    <mergeCell ref="S9:S10"/>
    <mergeCell ref="V15:V16"/>
    <mergeCell ref="W15:W16"/>
    <mergeCell ref="T9:T10"/>
    <mergeCell ref="W17:W18"/>
    <mergeCell ref="V17:V18"/>
    <mergeCell ref="P8:P9"/>
    <mergeCell ref="Q8:Q9"/>
    <mergeCell ref="P14:P15"/>
    <mergeCell ref="Q14:Q15"/>
    <mergeCell ref="A11:A16"/>
    <mergeCell ref="B4:E4"/>
    <mergeCell ref="A17:A22"/>
    <mergeCell ref="DC3:DE3"/>
    <mergeCell ref="AC38:AJ38"/>
    <mergeCell ref="AC39:AJ39"/>
    <mergeCell ref="AC41:AJ48"/>
    <mergeCell ref="BV3:CO3"/>
    <mergeCell ref="CE4:CI4"/>
    <mergeCell ref="CK4:CL4"/>
    <mergeCell ref="CN4:CO4"/>
    <mergeCell ref="CQ4:CS4"/>
    <mergeCell ref="BC4:BD4"/>
    <mergeCell ref="BL4:BM4"/>
    <mergeCell ref="BO4:BP4"/>
    <mergeCell ref="AV44:AV46"/>
    <mergeCell ref="AW44:AW46"/>
    <mergeCell ref="AL6:AN6"/>
    <mergeCell ref="AC18:AJ18"/>
    <mergeCell ref="AC5:AI5"/>
    <mergeCell ref="AC14:AI16"/>
    <mergeCell ref="AC27:AJ29"/>
    <mergeCell ref="AC32:AJ37"/>
    <mergeCell ref="CU3:CW3"/>
    <mergeCell ref="CY4:DA4"/>
  </mergeCells>
  <conditionalFormatting sqref="S9:S10">
    <cfRule type="expression" dxfId="31" priority="49">
      <formula>OR(S9=$B$41,S9=$B$44,S9=$B$46,S9=$E$43)</formula>
    </cfRule>
    <cfRule type="expression" dxfId="30" priority="50">
      <formula>OR(S9=$B$35,S9=$B$38,S9=$B$40,S9=$E$37)</formula>
    </cfRule>
    <cfRule type="expression" dxfId="29" priority="55">
      <formula>OR(S9=$B$29,S9=$B$32,S9=$B$34,S9=$E$31)</formula>
    </cfRule>
    <cfRule type="expression" dxfId="28" priority="56">
      <formula>OR(S9=$B$23,S9=$B$26,S9=$B$28,S9=$E$25)</formula>
    </cfRule>
    <cfRule type="expression" dxfId="27" priority="57">
      <formula>OR(S9=$B$17,S9=$B$20,S9=$B$22,S9=$E$19)</formula>
    </cfRule>
    <cfRule type="expression" dxfId="26" priority="59">
      <formula>OR(S9=$B$11,S9=$B$14,S9=$B$16,S9=$E$13)</formula>
    </cfRule>
  </conditionalFormatting>
  <conditionalFormatting sqref="P6:P9 P12:P15 P18:P21 P24:P27 P30:P33 P36:P39 P42:P45 P48:P51 V15:V18 Y27:Y30 V39:V42">
    <cfRule type="expression" dxfId="25" priority="37">
      <formula>OR(P6=$B$41,P6=$B$44,P6=$B$46,P6=$E$43)</formula>
    </cfRule>
    <cfRule type="expression" dxfId="24" priority="38">
      <formula>OR(P6=$B$35,P6=$B$38,P6=$B$40,P6=$E$37)</formula>
    </cfRule>
    <cfRule type="expression" dxfId="23" priority="39">
      <formula>OR(P6=$B$29,P6=$B$32,P6=$B$34,P6=$E$31)</formula>
    </cfRule>
    <cfRule type="expression" dxfId="22" priority="40">
      <formula>OR(P6=$B$23,P6=$B$26,P6=$B$28,P6=$E$25)</formula>
    </cfRule>
    <cfRule type="expression" dxfId="21" priority="41">
      <formula>OR(P6=$B$17,P6=$B$20,P6=$B$22,P6=$E$19)</formula>
    </cfRule>
    <cfRule type="expression" dxfId="20" priority="42">
      <formula>OR(P6=$B$11,P6=$B$14,P6=$B$16,P6=$E$13)</formula>
    </cfRule>
  </conditionalFormatting>
  <conditionalFormatting sqref="S45:S48 S33:S36 S21:S24 S11:S12">
    <cfRule type="expression" dxfId="19" priority="43">
      <formula>OR(S11=$B$41,S11=$B$44,S11=$B$46,S11=$E$43)</formula>
    </cfRule>
    <cfRule type="expression" dxfId="18" priority="44">
      <formula>OR(S11=$B$35,S11=$B$38,S11=$B$40,S11=$E$37)</formula>
    </cfRule>
    <cfRule type="expression" dxfId="17" priority="45">
      <formula>OR(S11=$B$29,S11=$B$32,S11=$B$34,S11=$E$31)</formula>
    </cfRule>
    <cfRule type="expression" dxfId="16" priority="46">
      <formula>OR(S11=$B$23,S11=$B$26,S11=$B$28,S11=$E$25)</formula>
    </cfRule>
    <cfRule type="expression" dxfId="15" priority="47">
      <formula>OR(S11=$B$17,S11=$B$20,S11=$B$22,S11=$E$19)</formula>
    </cfRule>
    <cfRule type="expression" dxfId="14" priority="48">
      <formula>OR(S11=$B$11,S11=$B$14,S11=$B$16,S11=$E$13)</formula>
    </cfRule>
  </conditionalFormatting>
  <conditionalFormatting sqref="AX7 AX13 AX19 AX25 AX31 AX37">
    <cfRule type="expression" dxfId="13" priority="36">
      <formula>AW7&lt;&gt;""</formula>
    </cfRule>
  </conditionalFormatting>
  <conditionalFormatting sqref="AY8 AY14 AY20 AY26 AY32 AY38">
    <cfRule type="expression" dxfId="12" priority="34">
      <formula>AW8&lt;&gt;""</formula>
    </cfRule>
  </conditionalFormatting>
  <conditionalFormatting sqref="AZ9 AZ15 AZ21 AZ27 AZ33 AZ39">
    <cfRule type="expression" dxfId="11" priority="33">
      <formula>AW9&lt;&gt;""</formula>
    </cfRule>
  </conditionalFormatting>
  <conditionalFormatting sqref="BA10 BJ10 BA16 BA22 BA28 BA34 BA40 BJ16 BJ22 BJ28 BJ34 BJ40">
    <cfRule type="expression" dxfId="10" priority="32">
      <formula>AW10&lt;&gt;""</formula>
    </cfRule>
  </conditionalFormatting>
  <conditionalFormatting sqref="BG7 BG13 BG19 BG25 BG31 BG37">
    <cfRule type="expression" dxfId="9" priority="27">
      <formula>BF7&lt;&gt;""</formula>
    </cfRule>
  </conditionalFormatting>
  <conditionalFormatting sqref="BH8 BH14 BH20 BH26 BH32 BH38">
    <cfRule type="expression" dxfId="8" priority="26">
      <formula>BF8&lt;&gt;""</formula>
    </cfRule>
  </conditionalFormatting>
  <conditionalFormatting sqref="BI9 BI15 BI21 BI27 BI33 BI39">
    <cfRule type="expression" dxfId="7" priority="25">
      <formula>BF9&lt;&gt;""</formula>
    </cfRule>
  </conditionalFormatting>
  <conditionalFormatting sqref="BW7 BW13 BW19 BW25 BW31 BW37">
    <cfRule type="expression" dxfId="6" priority="11">
      <formula>BV7&lt;&gt;""</formula>
    </cfRule>
  </conditionalFormatting>
  <conditionalFormatting sqref="BX8 BX14 BX20 BX26 BX32 BX38">
    <cfRule type="expression" dxfId="5" priority="10">
      <formula>BV8&lt;&gt;""</formula>
    </cfRule>
  </conditionalFormatting>
  <conditionalFormatting sqref="BY9 BY15 BY21 BY27 BY33 BY39">
    <cfRule type="expression" dxfId="4" priority="9">
      <formula>BV9&lt;&gt;""</formula>
    </cfRule>
  </conditionalFormatting>
  <conditionalFormatting sqref="BZ10 CI10:CJ10 CI16:CJ16 CI22:CJ22 CI28:CJ28 CI34:CJ34 CI40:CJ40 BZ16 BZ22 BZ28 BZ34 BZ40">
    <cfRule type="expression" dxfId="3" priority="8">
      <formula>BV10&lt;&gt;""</formula>
    </cfRule>
  </conditionalFormatting>
  <conditionalFormatting sqref="CF7 CF13 CF19 CF25 CF31 CF37">
    <cfRule type="expression" dxfId="2" priority="7">
      <formula>CE7&lt;&gt;""</formula>
    </cfRule>
  </conditionalFormatting>
  <conditionalFormatting sqref="CG8 CG14 CG20 CG26 CG32 CG38">
    <cfRule type="expression" dxfId="1" priority="6">
      <formula>CE8&lt;&gt;""</formula>
    </cfRule>
  </conditionalFormatting>
  <conditionalFormatting sqref="CH9 CH15 CH21 CH27 CH33 CH39">
    <cfRule type="expression" dxfId="0" priority="5">
      <formula>CE9&lt;&gt;""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Matchs de Qualification</vt:lpstr>
      <vt:lpstr>Phase Finale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</dc:creator>
  <cp:lastModifiedBy>Arthur</cp:lastModifiedBy>
  <dcterms:created xsi:type="dcterms:W3CDTF">2014-11-30T16:59:13Z</dcterms:created>
  <dcterms:modified xsi:type="dcterms:W3CDTF">2016-06-04T22:47:33Z</dcterms:modified>
</cp:coreProperties>
</file>