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filterPrivacy="1" codeName="ThisWorkbook" defaultThemeVersion="124226"/>
  <bookViews>
    <workbookView showSheetTabs="0" xWindow="-75" yWindow="15" windowWidth="15480" windowHeight="9120" tabRatio="967"/>
  </bookViews>
  <sheets>
    <sheet name="Menu" sheetId="9" r:id="rId1"/>
    <sheet name="Compte" sheetId="1" r:id="rId2"/>
    <sheet name="Bilanouverture" sheetId="3" r:id="rId3"/>
    <sheet name="Résultat" sheetId="4" r:id="rId4"/>
    <sheet name="Journal" sheetId="2" r:id="rId5"/>
    <sheet name="Balance" sheetId="5" r:id="rId6"/>
    <sheet name="Bilancloture" sheetId="6" r:id="rId7"/>
    <sheet name="TVA" sheetId="7" r:id="rId8"/>
    <sheet name="Imprimer" sheetId="26" r:id="rId9"/>
    <sheet name="Gestion" sheetId="10" r:id="rId10"/>
    <sheet name="Amortim" sheetId="13" r:id="rId11"/>
    <sheet name="Amorfin" sheetId="14" r:id="rId12"/>
    <sheet name="Maths" sheetId="15" r:id="rId13"/>
    <sheet name="Sociétés" sheetId="11" r:id="rId14"/>
    <sheet name="Clients" sheetId="19" r:id="rId15"/>
    <sheet name="Achats" sheetId="20" r:id="rId16"/>
    <sheet name="Salaires" sheetId="21" r:id="rId17"/>
    <sheet name="Change" sheetId="22" r:id="rId18"/>
    <sheet name="Provisions" sheetId="23" r:id="rId19"/>
    <sheet name="immobilisations" sheetId="24" r:id="rId20"/>
    <sheet name="Exercices" sheetId="25" r:id="rId21"/>
    <sheet name="Concordance" sheetId="27" r:id="rId22"/>
  </sheets>
  <definedNames>
    <definedName name="Compte">Compte!$A$3:$A$346</definedName>
    <definedName name="Date">Compte!$I$3:$I$391</definedName>
    <definedName name="ecrit">Exercices!$A$116:$C$640</definedName>
    <definedName name="Taux">Compte!$A$316:$A$343</definedName>
  </definedNames>
  <calcPr calcId="125725"/>
</workbook>
</file>

<file path=xl/calcChain.xml><?xml version="1.0" encoding="utf-8"?>
<calcChain xmlns="http://schemas.openxmlformats.org/spreadsheetml/2006/main">
  <c r="D85" i="2"/>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1298"/>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6"/>
  <c r="G1627"/>
  <c r="G1628"/>
  <c r="G1629"/>
  <c r="G1630"/>
  <c r="G1631"/>
  <c r="G1632"/>
  <c r="G1633"/>
  <c r="G1634"/>
  <c r="G1635"/>
  <c r="G1636"/>
  <c r="G1637"/>
  <c r="G1638"/>
  <c r="G1639"/>
  <c r="G1640"/>
  <c r="G1641"/>
  <c r="G1642"/>
  <c r="G1643"/>
  <c r="G1644"/>
  <c r="G1645"/>
  <c r="G1646"/>
  <c r="G1647"/>
  <c r="G1648"/>
  <c r="G1649"/>
  <c r="G1650"/>
  <c r="G1651"/>
  <c r="G1652"/>
  <c r="G1653"/>
  <c r="G1654"/>
  <c r="G1655"/>
  <c r="G1656"/>
  <c r="G1657"/>
  <c r="G1658"/>
  <c r="G1659"/>
  <c r="G1660"/>
  <c r="G1661"/>
  <c r="G1662"/>
  <c r="G1663"/>
  <c r="G1664"/>
  <c r="G1665"/>
  <c r="G1666"/>
  <c r="G1667"/>
  <c r="G1668"/>
  <c r="G1669"/>
  <c r="G1670"/>
  <c r="G1671"/>
  <c r="G1672"/>
  <c r="G1673"/>
  <c r="G1674"/>
  <c r="G1675"/>
  <c r="G1676"/>
  <c r="G1677"/>
  <c r="G1678"/>
  <c r="G1679"/>
  <c r="G1680"/>
  <c r="G1681"/>
  <c r="G1682"/>
  <c r="G1683"/>
  <c r="G1684"/>
  <c r="G1685"/>
  <c r="G1686"/>
  <c r="G1687"/>
  <c r="G1688"/>
  <c r="G1689"/>
  <c r="G1690"/>
  <c r="G1691"/>
  <c r="G1692"/>
  <c r="G1693"/>
  <c r="G1694"/>
  <c r="G1695"/>
  <c r="G1696"/>
  <c r="G1697"/>
  <c r="G1698"/>
  <c r="G1699"/>
  <c r="G1700"/>
  <c r="G1701"/>
  <c r="G1702"/>
  <c r="G1703"/>
  <c r="G1704"/>
  <c r="G1705"/>
  <c r="G1706"/>
  <c r="G1707"/>
  <c r="G1708"/>
  <c r="G1709"/>
  <c r="G1710"/>
  <c r="G1711"/>
  <c r="G1712"/>
  <c r="G1713"/>
  <c r="G1714"/>
  <c r="G1715"/>
  <c r="G1716"/>
  <c r="G1717"/>
  <c r="G1718"/>
  <c r="G1719"/>
  <c r="G1720"/>
  <c r="G1721"/>
  <c r="G1722"/>
  <c r="G1723"/>
  <c r="G1724"/>
  <c r="G1725"/>
  <c r="G1726"/>
  <c r="G1727"/>
  <c r="G1728"/>
  <c r="G1729"/>
  <c r="G1730"/>
  <c r="G1731"/>
  <c r="G1732"/>
  <c r="G1733"/>
  <c r="G1734"/>
  <c r="G1735"/>
  <c r="G1736"/>
  <c r="G1737"/>
  <c r="G1738"/>
  <c r="G1739"/>
  <c r="G1740"/>
  <c r="G1741"/>
  <c r="G1742"/>
  <c r="G1743"/>
  <c r="G1744"/>
  <c r="G1745"/>
  <c r="G1746"/>
  <c r="G1747"/>
  <c r="G1748"/>
  <c r="G1749"/>
  <c r="G1750"/>
  <c r="G1751"/>
  <c r="G1752"/>
  <c r="G1753"/>
  <c r="G1754"/>
  <c r="G1755"/>
  <c r="G1756"/>
  <c r="G1757"/>
  <c r="G1758"/>
  <c r="G1759"/>
  <c r="G1760"/>
  <c r="G1761"/>
  <c r="G1762"/>
  <c r="G1763"/>
  <c r="G1764"/>
  <c r="G1765"/>
  <c r="G1766"/>
  <c r="G1767"/>
  <c r="G1768"/>
  <c r="G1769"/>
  <c r="G1770"/>
  <c r="G1771"/>
  <c r="G1772"/>
  <c r="G1773"/>
  <c r="G1774"/>
  <c r="G1775"/>
  <c r="G1776"/>
  <c r="G1777"/>
  <c r="G1778"/>
  <c r="G1779"/>
  <c r="G1780"/>
  <c r="G1781"/>
  <c r="G1782"/>
  <c r="G1783"/>
  <c r="G1784"/>
  <c r="G1785"/>
  <c r="G1786"/>
  <c r="G1787"/>
  <c r="G1788"/>
  <c r="G1789"/>
  <c r="G1790"/>
  <c r="G1791"/>
  <c r="G1792"/>
  <c r="G1793"/>
  <c r="G1794"/>
  <c r="G1795"/>
  <c r="G1796"/>
  <c r="G1797"/>
  <c r="G1798"/>
  <c r="G1799"/>
  <c r="G1800"/>
  <c r="G1801"/>
  <c r="G1802"/>
  <c r="G1803"/>
  <c r="G1804"/>
  <c r="G1805"/>
  <c r="G1806"/>
  <c r="G1807"/>
  <c r="G1808"/>
  <c r="G1809"/>
  <c r="G1810"/>
  <c r="G1811"/>
  <c r="G1812"/>
  <c r="G1813"/>
  <c r="G1814"/>
  <c r="G1815"/>
  <c r="G1816"/>
  <c r="G1817"/>
  <c r="G1818"/>
  <c r="G1819"/>
  <c r="G1820"/>
  <c r="G1821"/>
  <c r="G1822"/>
  <c r="G1823"/>
  <c r="G1824"/>
  <c r="G1825"/>
  <c r="G1826"/>
  <c r="G1827"/>
  <c r="G1828"/>
  <c r="G1829"/>
  <c r="G1830"/>
  <c r="G1831"/>
  <c r="G1832"/>
  <c r="G1833"/>
  <c r="G1834"/>
  <c r="G1835"/>
  <c r="G1836"/>
  <c r="G1837"/>
  <c r="G1838"/>
  <c r="G1839"/>
  <c r="G1840"/>
  <c r="G1841"/>
  <c r="G1842"/>
  <c r="G1843"/>
  <c r="G1844"/>
  <c r="G1845"/>
  <c r="G1846"/>
  <c r="G1847"/>
  <c r="G1848"/>
  <c r="G1849"/>
  <c r="G1850"/>
  <c r="G1851"/>
  <c r="G1852"/>
  <c r="G1853"/>
  <c r="G1854"/>
  <c r="G1855"/>
  <c r="G1856"/>
  <c r="G1857"/>
  <c r="G1858"/>
  <c r="G1859"/>
  <c r="G1860"/>
  <c r="G1861"/>
  <c r="G1862"/>
  <c r="G1863"/>
  <c r="G1864"/>
  <c r="G1865"/>
  <c r="G1866"/>
  <c r="G1867"/>
  <c r="G1868"/>
  <c r="G1869"/>
  <c r="G1870"/>
  <c r="G1871"/>
  <c r="G1872"/>
  <c r="G1873"/>
  <c r="G1874"/>
  <c r="G1875"/>
  <c r="G1876"/>
  <c r="G1877"/>
  <c r="G1878"/>
  <c r="G1879"/>
  <c r="G1880"/>
  <c r="G1881"/>
  <c r="G1882"/>
  <c r="G1883"/>
  <c r="G1884"/>
  <c r="G1885"/>
  <c r="G1886"/>
  <c r="G1887"/>
  <c r="G1888"/>
  <c r="G1889"/>
  <c r="G1890"/>
  <c r="G1891"/>
  <c r="G1892"/>
  <c r="G1893"/>
  <c r="G1894"/>
  <c r="G1895"/>
  <c r="G1896"/>
  <c r="G1897"/>
  <c r="G1898"/>
  <c r="G1899"/>
  <c r="G1900"/>
  <c r="G1901"/>
  <c r="G1902"/>
  <c r="G1903"/>
  <c r="G1904"/>
  <c r="G1905"/>
  <c r="G1906"/>
  <c r="G1907"/>
  <c r="G1908"/>
  <c r="G1909"/>
  <c r="G1910"/>
  <c r="G1911"/>
  <c r="G1912"/>
  <c r="G1913"/>
  <c r="G1914"/>
  <c r="G1915"/>
  <c r="G1916"/>
  <c r="G1917"/>
  <c r="G1918"/>
  <c r="G1919"/>
  <c r="G1920"/>
  <c r="G1921"/>
  <c r="G1922"/>
  <c r="G1923"/>
  <c r="G1924"/>
  <c r="G1925"/>
  <c r="G1926"/>
  <c r="G1927"/>
  <c r="G1928"/>
  <c r="G1929"/>
  <c r="G1930"/>
  <c r="G1931"/>
  <c r="G1932"/>
  <c r="G1933"/>
  <c r="G1934"/>
  <c r="G1935"/>
  <c r="G1936"/>
  <c r="G1937"/>
  <c r="G1938"/>
  <c r="G1939"/>
  <c r="G1940"/>
  <c r="G1941"/>
  <c r="G1942"/>
  <c r="G1943"/>
  <c r="G1944"/>
  <c r="G1945"/>
  <c r="G1946"/>
  <c r="G1947"/>
  <c r="G1948"/>
  <c r="G1949"/>
  <c r="G1950"/>
  <c r="G1951"/>
  <c r="G1952"/>
  <c r="G1953"/>
  <c r="G1954"/>
  <c r="G1955"/>
  <c r="G1956"/>
  <c r="G1957"/>
  <c r="G1958"/>
  <c r="G1959"/>
  <c r="G1960"/>
  <c r="G1961"/>
  <c r="G1962"/>
  <c r="G1963"/>
  <c r="G1964"/>
  <c r="G1965"/>
  <c r="G1966"/>
  <c r="G1967"/>
  <c r="G1968"/>
  <c r="G1969"/>
  <c r="G1970"/>
  <c r="G1971"/>
  <c r="G1972"/>
  <c r="G1973"/>
  <c r="G1974"/>
  <c r="G1975"/>
  <c r="G1976"/>
  <c r="G1977"/>
  <c r="G1978"/>
  <c r="G1979"/>
  <c r="G1980"/>
  <c r="G1981"/>
  <c r="G1982"/>
  <c r="G1983"/>
  <c r="G1984"/>
  <c r="G1985"/>
  <c r="G1986"/>
  <c r="G1987"/>
  <c r="G1988"/>
  <c r="G1989"/>
  <c r="G1990"/>
  <c r="G1991"/>
  <c r="G1992"/>
  <c r="G1993"/>
  <c r="G1994"/>
  <c r="G1995"/>
  <c r="G1996"/>
  <c r="G1997"/>
  <c r="G1998"/>
  <c r="G1999"/>
  <c r="G2000"/>
  <c r="H8"/>
  <c r="I8"/>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4"/>
  <c r="I34"/>
  <c r="H35"/>
  <c r="I35"/>
  <c r="H36"/>
  <c r="I36"/>
  <c r="H37"/>
  <c r="I37"/>
  <c r="H38"/>
  <c r="I38"/>
  <c r="H39"/>
  <c r="I39"/>
  <c r="H40"/>
  <c r="I40"/>
  <c r="H41"/>
  <c r="I41"/>
  <c r="H42"/>
  <c r="I42"/>
  <c r="H43"/>
  <c r="I43"/>
  <c r="H44"/>
  <c r="I44"/>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H70"/>
  <c r="I70"/>
  <c r="H71"/>
  <c r="I71"/>
  <c r="H72"/>
  <c r="I72"/>
  <c r="H73"/>
  <c r="I73"/>
  <c r="H74"/>
  <c r="I74"/>
  <c r="H75"/>
  <c r="I75"/>
  <c r="H76"/>
  <c r="I76"/>
  <c r="H77"/>
  <c r="I77"/>
  <c r="H78"/>
  <c r="I78"/>
  <c r="H79"/>
  <c r="I79"/>
  <c r="H80"/>
  <c r="I80"/>
  <c r="H81"/>
  <c r="I81"/>
  <c r="H82"/>
  <c r="I82"/>
  <c r="H83"/>
  <c r="I83"/>
  <c r="H84"/>
  <c r="I84"/>
  <c r="H85"/>
  <c r="I85"/>
  <c r="H86"/>
  <c r="I86"/>
  <c r="H87"/>
  <c r="I87"/>
  <c r="H88"/>
  <c r="I88"/>
  <c r="H89"/>
  <c r="I89"/>
  <c r="H90"/>
  <c r="I90"/>
  <c r="H91"/>
  <c r="I91"/>
  <c r="H92"/>
  <c r="I92"/>
  <c r="H93"/>
  <c r="I93"/>
  <c r="H94"/>
  <c r="I94"/>
  <c r="H95"/>
  <c r="I95"/>
  <c r="H96"/>
  <c r="I96"/>
  <c r="H97"/>
  <c r="I97"/>
  <c r="H98"/>
  <c r="I98"/>
  <c r="H99"/>
  <c r="I99"/>
  <c r="H100"/>
  <c r="I100"/>
  <c r="H101"/>
  <c r="I101"/>
  <c r="H102"/>
  <c r="I102"/>
  <c r="H103"/>
  <c r="I103"/>
  <c r="H104"/>
  <c r="I104"/>
  <c r="H105"/>
  <c r="I105"/>
  <c r="H106"/>
  <c r="I106"/>
  <c r="H107"/>
  <c r="I107"/>
  <c r="H108"/>
  <c r="I108"/>
  <c r="H109"/>
  <c r="I109"/>
  <c r="H110"/>
  <c r="I110"/>
  <c r="H111"/>
  <c r="I111"/>
  <c r="H112"/>
  <c r="I112"/>
  <c r="H113"/>
  <c r="I113"/>
  <c r="H114"/>
  <c r="I114"/>
  <c r="H115"/>
  <c r="I115"/>
  <c r="H116"/>
  <c r="I116"/>
  <c r="H117"/>
  <c r="I117"/>
  <c r="H118"/>
  <c r="I118"/>
  <c r="H119"/>
  <c r="I119"/>
  <c r="H120"/>
  <c r="I120"/>
  <c r="H121"/>
  <c r="I121"/>
  <c r="H122"/>
  <c r="I122"/>
  <c r="H123"/>
  <c r="I123"/>
  <c r="H124"/>
  <c r="I124"/>
  <c r="H125"/>
  <c r="I125"/>
  <c r="H126"/>
  <c r="I126"/>
  <c r="H127"/>
  <c r="I127"/>
  <c r="H128"/>
  <c r="I128"/>
  <c r="H129"/>
  <c r="I129"/>
  <c r="H130"/>
  <c r="I130"/>
  <c r="H131"/>
  <c r="I131"/>
  <c r="H132"/>
  <c r="I132"/>
  <c r="H133"/>
  <c r="I133"/>
  <c r="H134"/>
  <c r="I134"/>
  <c r="H135"/>
  <c r="I135"/>
  <c r="H136"/>
  <c r="I136"/>
  <c r="H137"/>
  <c r="I137"/>
  <c r="H138"/>
  <c r="I138"/>
  <c r="H139"/>
  <c r="I139"/>
  <c r="H140"/>
  <c r="I140"/>
  <c r="H141"/>
  <c r="I141"/>
  <c r="H142"/>
  <c r="I142"/>
  <c r="H143"/>
  <c r="I143"/>
  <c r="H144"/>
  <c r="I144"/>
  <c r="H145"/>
  <c r="I145"/>
  <c r="H146"/>
  <c r="I146"/>
  <c r="H147"/>
  <c r="I147"/>
  <c r="H148"/>
  <c r="I148"/>
  <c r="H149"/>
  <c r="I149"/>
  <c r="H150"/>
  <c r="I150"/>
  <c r="H151"/>
  <c r="I151"/>
  <c r="H152"/>
  <c r="I152"/>
  <c r="H153"/>
  <c r="I153"/>
  <c r="H154"/>
  <c r="I154"/>
  <c r="H155"/>
  <c r="I155"/>
  <c r="H156"/>
  <c r="I156"/>
  <c r="H157"/>
  <c r="I157"/>
  <c r="H158"/>
  <c r="I158"/>
  <c r="H159"/>
  <c r="I159"/>
  <c r="H160"/>
  <c r="I160"/>
  <c r="H161"/>
  <c r="I161"/>
  <c r="H162"/>
  <c r="I162"/>
  <c r="H163"/>
  <c r="I163"/>
  <c r="H164"/>
  <c r="I164"/>
  <c r="H165"/>
  <c r="I165"/>
  <c r="H166"/>
  <c r="I166"/>
  <c r="H167"/>
  <c r="I167"/>
  <c r="H168"/>
  <c r="I168"/>
  <c r="H169"/>
  <c r="I169"/>
  <c r="H170"/>
  <c r="I170"/>
  <c r="H171"/>
  <c r="I171"/>
  <c r="H172"/>
  <c r="I172"/>
  <c r="H173"/>
  <c r="I173"/>
  <c r="H174"/>
  <c r="I174"/>
  <c r="H175"/>
  <c r="I175"/>
  <c r="H176"/>
  <c r="I176"/>
  <c r="H177"/>
  <c r="I177"/>
  <c r="H178"/>
  <c r="I178"/>
  <c r="H179"/>
  <c r="I179"/>
  <c r="H180"/>
  <c r="I180"/>
  <c r="H181"/>
  <c r="I181"/>
  <c r="H182"/>
  <c r="I182"/>
  <c r="H183"/>
  <c r="I183"/>
  <c r="H184"/>
  <c r="I184"/>
  <c r="H185"/>
  <c r="I185"/>
  <c r="H186"/>
  <c r="I186"/>
  <c r="H187"/>
  <c r="I187"/>
  <c r="H188"/>
  <c r="I188"/>
  <c r="H189"/>
  <c r="I189"/>
  <c r="H190"/>
  <c r="I190"/>
  <c r="H191"/>
  <c r="I191"/>
  <c r="H192"/>
  <c r="I192"/>
  <c r="H193"/>
  <c r="I193"/>
  <c r="H194"/>
  <c r="I194"/>
  <c r="H195"/>
  <c r="I195"/>
  <c r="H196"/>
  <c r="I196"/>
  <c r="H197"/>
  <c r="I197"/>
  <c r="H198"/>
  <c r="I198"/>
  <c r="H199"/>
  <c r="I199"/>
  <c r="H200"/>
  <c r="I200"/>
  <c r="H201"/>
  <c r="I201"/>
  <c r="H202"/>
  <c r="I202"/>
  <c r="H203"/>
  <c r="I203"/>
  <c r="H204"/>
  <c r="I204"/>
  <c r="H205"/>
  <c r="I205"/>
  <c r="H206"/>
  <c r="I206"/>
  <c r="H207"/>
  <c r="I207"/>
  <c r="H208"/>
  <c r="I208"/>
  <c r="H209"/>
  <c r="I209"/>
  <c r="H210"/>
  <c r="I210"/>
  <c r="H211"/>
  <c r="I211"/>
  <c r="H212"/>
  <c r="I212"/>
  <c r="H213"/>
  <c r="I213"/>
  <c r="H214"/>
  <c r="I214"/>
  <c r="H215"/>
  <c r="I215"/>
  <c r="H216"/>
  <c r="I216"/>
  <c r="H217"/>
  <c r="I217"/>
  <c r="H218"/>
  <c r="I218"/>
  <c r="H219"/>
  <c r="I219"/>
  <c r="H220"/>
  <c r="I220"/>
  <c r="H221"/>
  <c r="I221"/>
  <c r="H222"/>
  <c r="I222"/>
  <c r="H223"/>
  <c r="I223"/>
  <c r="H224"/>
  <c r="I224"/>
  <c r="H225"/>
  <c r="I225"/>
  <c r="H226"/>
  <c r="I226"/>
  <c r="H227"/>
  <c r="I227"/>
  <c r="H228"/>
  <c r="I228"/>
  <c r="H229"/>
  <c r="I229"/>
  <c r="H230"/>
  <c r="I230"/>
  <c r="H231"/>
  <c r="I231"/>
  <c r="H232"/>
  <c r="I232"/>
  <c r="H233"/>
  <c r="I233"/>
  <c r="H234"/>
  <c r="I234"/>
  <c r="H235"/>
  <c r="I235"/>
  <c r="H236"/>
  <c r="I236"/>
  <c r="H237"/>
  <c r="I237"/>
  <c r="H238"/>
  <c r="I238"/>
  <c r="H239"/>
  <c r="I239"/>
  <c r="H240"/>
  <c r="I240"/>
  <c r="H241"/>
  <c r="I241"/>
  <c r="H242"/>
  <c r="I242"/>
  <c r="H243"/>
  <c r="I243"/>
  <c r="H244"/>
  <c r="I244"/>
  <c r="H245"/>
  <c r="I245"/>
  <c r="H246"/>
  <c r="I246"/>
  <c r="H247"/>
  <c r="I247"/>
  <c r="H248"/>
  <c r="I248"/>
  <c r="H249"/>
  <c r="I249"/>
  <c r="H250"/>
  <c r="I250"/>
  <c r="H251"/>
  <c r="I251"/>
  <c r="H252"/>
  <c r="I252"/>
  <c r="H253"/>
  <c r="I253"/>
  <c r="H254"/>
  <c r="I254"/>
  <c r="H255"/>
  <c r="I255"/>
  <c r="H256"/>
  <c r="I256"/>
  <c r="H257"/>
  <c r="I257"/>
  <c r="H258"/>
  <c r="I258"/>
  <c r="H259"/>
  <c r="I259"/>
  <c r="H260"/>
  <c r="I260"/>
  <c r="H261"/>
  <c r="I261"/>
  <c r="H262"/>
  <c r="I262"/>
  <c r="H263"/>
  <c r="I263"/>
  <c r="H264"/>
  <c r="I264"/>
  <c r="H265"/>
  <c r="I265"/>
  <c r="H266"/>
  <c r="I266"/>
  <c r="H267"/>
  <c r="I267"/>
  <c r="H268"/>
  <c r="I268"/>
  <c r="H269"/>
  <c r="I269"/>
  <c r="H270"/>
  <c r="I270"/>
  <c r="H271"/>
  <c r="I271"/>
  <c r="H272"/>
  <c r="I272"/>
  <c r="H273"/>
  <c r="I273"/>
  <c r="H274"/>
  <c r="I274"/>
  <c r="H275"/>
  <c r="I275"/>
  <c r="H276"/>
  <c r="I276"/>
  <c r="H277"/>
  <c r="I277"/>
  <c r="H278"/>
  <c r="I278"/>
  <c r="H279"/>
  <c r="I279"/>
  <c r="H280"/>
  <c r="I280"/>
  <c r="H281"/>
  <c r="I281"/>
  <c r="H282"/>
  <c r="I282"/>
  <c r="H283"/>
  <c r="I283"/>
  <c r="H284"/>
  <c r="I284"/>
  <c r="H285"/>
  <c r="I285"/>
  <c r="H286"/>
  <c r="I286"/>
  <c r="H287"/>
  <c r="I287"/>
  <c r="H288"/>
  <c r="I288"/>
  <c r="H289"/>
  <c r="I289"/>
  <c r="H290"/>
  <c r="I290"/>
  <c r="H291"/>
  <c r="I291"/>
  <c r="H292"/>
  <c r="I292"/>
  <c r="H293"/>
  <c r="I293"/>
  <c r="H294"/>
  <c r="I294"/>
  <c r="H295"/>
  <c r="I295"/>
  <c r="H296"/>
  <c r="I296"/>
  <c r="H297"/>
  <c r="I297"/>
  <c r="H298"/>
  <c r="I298"/>
  <c r="H299"/>
  <c r="I299"/>
  <c r="H300"/>
  <c r="I300"/>
  <c r="H301"/>
  <c r="I301"/>
  <c r="H302"/>
  <c r="I302"/>
  <c r="H303"/>
  <c r="I303"/>
  <c r="H304"/>
  <c r="I304"/>
  <c r="H305"/>
  <c r="I305"/>
  <c r="H306"/>
  <c r="I306"/>
  <c r="H307"/>
  <c r="I307"/>
  <c r="H308"/>
  <c r="I308"/>
  <c r="H309"/>
  <c r="I309"/>
  <c r="H310"/>
  <c r="I310"/>
  <c r="H311"/>
  <c r="I311"/>
  <c r="H312"/>
  <c r="I312"/>
  <c r="H313"/>
  <c r="I313"/>
  <c r="H314"/>
  <c r="I314"/>
  <c r="H315"/>
  <c r="I315"/>
  <c r="H316"/>
  <c r="I316"/>
  <c r="H317"/>
  <c r="I317"/>
  <c r="H318"/>
  <c r="I318"/>
  <c r="H319"/>
  <c r="I319"/>
  <c r="H320"/>
  <c r="I320"/>
  <c r="H321"/>
  <c r="I321"/>
  <c r="H322"/>
  <c r="I322"/>
  <c r="H323"/>
  <c r="I323"/>
  <c r="H324"/>
  <c r="I324"/>
  <c r="H325"/>
  <c r="I325"/>
  <c r="H326"/>
  <c r="I326"/>
  <c r="H327"/>
  <c r="I327"/>
  <c r="H328"/>
  <c r="I328"/>
  <c r="H329"/>
  <c r="I329"/>
  <c r="H330"/>
  <c r="I330"/>
  <c r="H331"/>
  <c r="I331"/>
  <c r="H332"/>
  <c r="I332"/>
  <c r="H333"/>
  <c r="I333"/>
  <c r="H334"/>
  <c r="I334"/>
  <c r="H335"/>
  <c r="I335"/>
  <c r="H336"/>
  <c r="I336"/>
  <c r="H337"/>
  <c r="I337"/>
  <c r="H338"/>
  <c r="I338"/>
  <c r="H339"/>
  <c r="I339"/>
  <c r="H340"/>
  <c r="I340"/>
  <c r="H341"/>
  <c r="I341"/>
  <c r="H342"/>
  <c r="I342"/>
  <c r="H343"/>
  <c r="I343"/>
  <c r="H344"/>
  <c r="I344"/>
  <c r="H345"/>
  <c r="I345"/>
  <c r="H346"/>
  <c r="I346"/>
  <c r="H347"/>
  <c r="I347"/>
  <c r="H348"/>
  <c r="I348"/>
  <c r="H349"/>
  <c r="I349"/>
  <c r="H350"/>
  <c r="I350"/>
  <c r="H351"/>
  <c r="I351"/>
  <c r="H352"/>
  <c r="I352"/>
  <c r="H353"/>
  <c r="I353"/>
  <c r="H354"/>
  <c r="I354"/>
  <c r="H355"/>
  <c r="I355"/>
  <c r="H356"/>
  <c r="I356"/>
  <c r="H357"/>
  <c r="I357"/>
  <c r="H358"/>
  <c r="I358"/>
  <c r="H359"/>
  <c r="I359"/>
  <c r="H360"/>
  <c r="I360"/>
  <c r="H361"/>
  <c r="I361"/>
  <c r="H362"/>
  <c r="I362"/>
  <c r="H363"/>
  <c r="I363"/>
  <c r="H364"/>
  <c r="I364"/>
  <c r="H365"/>
  <c r="I365"/>
  <c r="H366"/>
  <c r="I366"/>
  <c r="H367"/>
  <c r="I367"/>
  <c r="H368"/>
  <c r="I368"/>
  <c r="H369"/>
  <c r="I369"/>
  <c r="H370"/>
  <c r="I370"/>
  <c r="H371"/>
  <c r="I371"/>
  <c r="H372"/>
  <c r="I372"/>
  <c r="H373"/>
  <c r="I373"/>
  <c r="H374"/>
  <c r="I374"/>
  <c r="H375"/>
  <c r="I375"/>
  <c r="H376"/>
  <c r="I376"/>
  <c r="H377"/>
  <c r="I377"/>
  <c r="H378"/>
  <c r="I378"/>
  <c r="H379"/>
  <c r="I379"/>
  <c r="H380"/>
  <c r="I380"/>
  <c r="H381"/>
  <c r="I381"/>
  <c r="H382"/>
  <c r="I382"/>
  <c r="H383"/>
  <c r="I383"/>
  <c r="H384"/>
  <c r="I384"/>
  <c r="H385"/>
  <c r="I385"/>
  <c r="H386"/>
  <c r="I386"/>
  <c r="H387"/>
  <c r="I387"/>
  <c r="H388"/>
  <c r="I388"/>
  <c r="H389"/>
  <c r="I389"/>
  <c r="H390"/>
  <c r="I390"/>
  <c r="H391"/>
  <c r="I391"/>
  <c r="H392"/>
  <c r="I392"/>
  <c r="H393"/>
  <c r="I393"/>
  <c r="H394"/>
  <c r="I394"/>
  <c r="H395"/>
  <c r="I395"/>
  <c r="H396"/>
  <c r="I396"/>
  <c r="H397"/>
  <c r="I397"/>
  <c r="H398"/>
  <c r="I398"/>
  <c r="H399"/>
  <c r="I399"/>
  <c r="H400"/>
  <c r="I400"/>
  <c r="H401"/>
  <c r="I401"/>
  <c r="H402"/>
  <c r="I402"/>
  <c r="H403"/>
  <c r="I403"/>
  <c r="H404"/>
  <c r="I404"/>
  <c r="H405"/>
  <c r="I405"/>
  <c r="H406"/>
  <c r="I406"/>
  <c r="H407"/>
  <c r="I407"/>
  <c r="H408"/>
  <c r="I408"/>
  <c r="H409"/>
  <c r="I409"/>
  <c r="H410"/>
  <c r="I410"/>
  <c r="H411"/>
  <c r="I411"/>
  <c r="H412"/>
  <c r="I412"/>
  <c r="H413"/>
  <c r="I413"/>
  <c r="H414"/>
  <c r="I414"/>
  <c r="H415"/>
  <c r="I415"/>
  <c r="H416"/>
  <c r="I416"/>
  <c r="H417"/>
  <c r="I417"/>
  <c r="H418"/>
  <c r="I418"/>
  <c r="H419"/>
  <c r="I419"/>
  <c r="H420"/>
  <c r="I420"/>
  <c r="H421"/>
  <c r="I421"/>
  <c r="H422"/>
  <c r="I422"/>
  <c r="H423"/>
  <c r="I423"/>
  <c r="H424"/>
  <c r="I424"/>
  <c r="H425"/>
  <c r="I425"/>
  <c r="H426"/>
  <c r="I426"/>
  <c r="H427"/>
  <c r="I427"/>
  <c r="H428"/>
  <c r="I428"/>
  <c r="H429"/>
  <c r="I429"/>
  <c r="H430"/>
  <c r="I430"/>
  <c r="H431"/>
  <c r="I431"/>
  <c r="H432"/>
  <c r="I432"/>
  <c r="H433"/>
  <c r="I433"/>
  <c r="H434"/>
  <c r="I434"/>
  <c r="H435"/>
  <c r="I435"/>
  <c r="H436"/>
  <c r="I436"/>
  <c r="H437"/>
  <c r="I437"/>
  <c r="H438"/>
  <c r="I438"/>
  <c r="H439"/>
  <c r="I439"/>
  <c r="H440"/>
  <c r="I440"/>
  <c r="H441"/>
  <c r="I441"/>
  <c r="H442"/>
  <c r="I442"/>
  <c r="H443"/>
  <c r="I443"/>
  <c r="H444"/>
  <c r="I444"/>
  <c r="H445"/>
  <c r="I445"/>
  <c r="H446"/>
  <c r="I446"/>
  <c r="H447"/>
  <c r="I447"/>
  <c r="H448"/>
  <c r="I448"/>
  <c r="H449"/>
  <c r="I449"/>
  <c r="H450"/>
  <c r="I450"/>
  <c r="H451"/>
  <c r="I451"/>
  <c r="H452"/>
  <c r="I452"/>
  <c r="H453"/>
  <c r="I453"/>
  <c r="H454"/>
  <c r="I454"/>
  <c r="H455"/>
  <c r="I455"/>
  <c r="H456"/>
  <c r="I456"/>
  <c r="H457"/>
  <c r="I457"/>
  <c r="H458"/>
  <c r="I458"/>
  <c r="H459"/>
  <c r="I459"/>
  <c r="H460"/>
  <c r="I460"/>
  <c r="H461"/>
  <c r="I461"/>
  <c r="H462"/>
  <c r="I462"/>
  <c r="H463"/>
  <c r="I463"/>
  <c r="H464"/>
  <c r="I464"/>
  <c r="H465"/>
  <c r="I465"/>
  <c r="H466"/>
  <c r="I466"/>
  <c r="H467"/>
  <c r="I467"/>
  <c r="H468"/>
  <c r="I468"/>
  <c r="H469"/>
  <c r="I469"/>
  <c r="H470"/>
  <c r="I470"/>
  <c r="H471"/>
  <c r="I471"/>
  <c r="H472"/>
  <c r="I472"/>
  <c r="H473"/>
  <c r="I473"/>
  <c r="H474"/>
  <c r="I474"/>
  <c r="H475"/>
  <c r="I475"/>
  <c r="H476"/>
  <c r="I476"/>
  <c r="H477"/>
  <c r="I477"/>
  <c r="H478"/>
  <c r="I478"/>
  <c r="H479"/>
  <c r="I479"/>
  <c r="H480"/>
  <c r="I480"/>
  <c r="H481"/>
  <c r="I481"/>
  <c r="H482"/>
  <c r="I482"/>
  <c r="H483"/>
  <c r="I483"/>
  <c r="H484"/>
  <c r="I484"/>
  <c r="H485"/>
  <c r="I485"/>
  <c r="H486"/>
  <c r="I486"/>
  <c r="H487"/>
  <c r="I487"/>
  <c r="H488"/>
  <c r="I488"/>
  <c r="H489"/>
  <c r="I489"/>
  <c r="H490"/>
  <c r="I490"/>
  <c r="H491"/>
  <c r="I491"/>
  <c r="H492"/>
  <c r="I492"/>
  <c r="H493"/>
  <c r="I493"/>
  <c r="H494"/>
  <c r="I494"/>
  <c r="H495"/>
  <c r="I495"/>
  <c r="H496"/>
  <c r="I496"/>
  <c r="H497"/>
  <c r="I497"/>
  <c r="H498"/>
  <c r="I498"/>
  <c r="H499"/>
  <c r="I499"/>
  <c r="H500"/>
  <c r="I500"/>
  <c r="H501"/>
  <c r="I501"/>
  <c r="H502"/>
  <c r="I502"/>
  <c r="H503"/>
  <c r="I503"/>
  <c r="H504"/>
  <c r="I504"/>
  <c r="H505"/>
  <c r="I505"/>
  <c r="H506"/>
  <c r="I506"/>
  <c r="H507"/>
  <c r="I507"/>
  <c r="H508"/>
  <c r="I508"/>
  <c r="H509"/>
  <c r="I509"/>
  <c r="H510"/>
  <c r="I510"/>
  <c r="H511"/>
  <c r="I511"/>
  <c r="H512"/>
  <c r="I512"/>
  <c r="H513"/>
  <c r="I513"/>
  <c r="H514"/>
  <c r="I514"/>
  <c r="H515"/>
  <c r="I515"/>
  <c r="H516"/>
  <c r="I516"/>
  <c r="H517"/>
  <c r="I517"/>
  <c r="H518"/>
  <c r="I518"/>
  <c r="H519"/>
  <c r="I519"/>
  <c r="H520"/>
  <c r="I520"/>
  <c r="H521"/>
  <c r="I521"/>
  <c r="H522"/>
  <c r="I522"/>
  <c r="H523"/>
  <c r="I523"/>
  <c r="H524"/>
  <c r="I524"/>
  <c r="H525"/>
  <c r="I525"/>
  <c r="H526"/>
  <c r="I526"/>
  <c r="H527"/>
  <c r="I527"/>
  <c r="H528"/>
  <c r="I528"/>
  <c r="H529"/>
  <c r="I529"/>
  <c r="H530"/>
  <c r="I530"/>
  <c r="H531"/>
  <c r="I531"/>
  <c r="H532"/>
  <c r="I532"/>
  <c r="H533"/>
  <c r="I533"/>
  <c r="H534"/>
  <c r="I534"/>
  <c r="H535"/>
  <c r="I535"/>
  <c r="H536"/>
  <c r="I536"/>
  <c r="H537"/>
  <c r="I537"/>
  <c r="H538"/>
  <c r="I538"/>
  <c r="H539"/>
  <c r="I539"/>
  <c r="H540"/>
  <c r="I540"/>
  <c r="H541"/>
  <c r="I541"/>
  <c r="H542"/>
  <c r="I542"/>
  <c r="H543"/>
  <c r="I543"/>
  <c r="H544"/>
  <c r="I544"/>
  <c r="H545"/>
  <c r="I545"/>
  <c r="H546"/>
  <c r="I546"/>
  <c r="H547"/>
  <c r="I547"/>
  <c r="H548"/>
  <c r="I548"/>
  <c r="H549"/>
  <c r="I549"/>
  <c r="H550"/>
  <c r="I550"/>
  <c r="H551"/>
  <c r="I551"/>
  <c r="H552"/>
  <c r="I552"/>
  <c r="H553"/>
  <c r="I553"/>
  <c r="H554"/>
  <c r="I554"/>
  <c r="H555"/>
  <c r="I555"/>
  <c r="H556"/>
  <c r="I556"/>
  <c r="H557"/>
  <c r="I557"/>
  <c r="H558"/>
  <c r="I558"/>
  <c r="H559"/>
  <c r="I559"/>
  <c r="H560"/>
  <c r="I560"/>
  <c r="H561"/>
  <c r="I561"/>
  <c r="H562"/>
  <c r="I562"/>
  <c r="H563"/>
  <c r="I563"/>
  <c r="H564"/>
  <c r="I564"/>
  <c r="H565"/>
  <c r="I565"/>
  <c r="H566"/>
  <c r="I566"/>
  <c r="H567"/>
  <c r="I567"/>
  <c r="H568"/>
  <c r="I568"/>
  <c r="H569"/>
  <c r="I569"/>
  <c r="H570"/>
  <c r="I570"/>
  <c r="H571"/>
  <c r="I571"/>
  <c r="H572"/>
  <c r="I572"/>
  <c r="H573"/>
  <c r="I573"/>
  <c r="H574"/>
  <c r="I574"/>
  <c r="H575"/>
  <c r="I575"/>
  <c r="H576"/>
  <c r="I576"/>
  <c r="H577"/>
  <c r="I577"/>
  <c r="H578"/>
  <c r="I578"/>
  <c r="H579"/>
  <c r="I579"/>
  <c r="H580"/>
  <c r="I580"/>
  <c r="H581"/>
  <c r="I581"/>
  <c r="H582"/>
  <c r="I582"/>
  <c r="H583"/>
  <c r="I583"/>
  <c r="H584"/>
  <c r="I584"/>
  <c r="H585"/>
  <c r="I585"/>
  <c r="H586"/>
  <c r="I586"/>
  <c r="H587"/>
  <c r="I587"/>
  <c r="H588"/>
  <c r="I588"/>
  <c r="H589"/>
  <c r="I589"/>
  <c r="H590"/>
  <c r="I590"/>
  <c r="H591"/>
  <c r="I591"/>
  <c r="H592"/>
  <c r="I592"/>
  <c r="H593"/>
  <c r="I593"/>
  <c r="H594"/>
  <c r="I594"/>
  <c r="H595"/>
  <c r="I595"/>
  <c r="H596"/>
  <c r="I596"/>
  <c r="H597"/>
  <c r="I597"/>
  <c r="H598"/>
  <c r="I598"/>
  <c r="H599"/>
  <c r="I599"/>
  <c r="H600"/>
  <c r="I600"/>
  <c r="H601"/>
  <c r="I601"/>
  <c r="H602"/>
  <c r="I602"/>
  <c r="H603"/>
  <c r="I603"/>
  <c r="H604"/>
  <c r="I604"/>
  <c r="H605"/>
  <c r="I605"/>
  <c r="H606"/>
  <c r="I606"/>
  <c r="H607"/>
  <c r="I607"/>
  <c r="H608"/>
  <c r="I608"/>
  <c r="H609"/>
  <c r="I609"/>
  <c r="H610"/>
  <c r="I610"/>
  <c r="H611"/>
  <c r="I611"/>
  <c r="H612"/>
  <c r="I612"/>
  <c r="H613"/>
  <c r="I613"/>
  <c r="H614"/>
  <c r="I614"/>
  <c r="H615"/>
  <c r="I615"/>
  <c r="H616"/>
  <c r="I616"/>
  <c r="H617"/>
  <c r="I617"/>
  <c r="H618"/>
  <c r="I618"/>
  <c r="H619"/>
  <c r="I619"/>
  <c r="H620"/>
  <c r="I620"/>
  <c r="H621"/>
  <c r="I621"/>
  <c r="H622"/>
  <c r="I622"/>
  <c r="H623"/>
  <c r="I623"/>
  <c r="H624"/>
  <c r="I624"/>
  <c r="H625"/>
  <c r="I625"/>
  <c r="H626"/>
  <c r="I626"/>
  <c r="H627"/>
  <c r="I627"/>
  <c r="H628"/>
  <c r="I628"/>
  <c r="H629"/>
  <c r="I629"/>
  <c r="H630"/>
  <c r="I630"/>
  <c r="H631"/>
  <c r="I631"/>
  <c r="H632"/>
  <c r="I632"/>
  <c r="H633"/>
  <c r="I633"/>
  <c r="H634"/>
  <c r="I634"/>
  <c r="H635"/>
  <c r="I635"/>
  <c r="H636"/>
  <c r="I636"/>
  <c r="H637"/>
  <c r="I637"/>
  <c r="H638"/>
  <c r="I638"/>
  <c r="H639"/>
  <c r="I639"/>
  <c r="H640"/>
  <c r="I640"/>
  <c r="H641"/>
  <c r="I641"/>
  <c r="H642"/>
  <c r="I642"/>
  <c r="H643"/>
  <c r="I643"/>
  <c r="H644"/>
  <c r="I644"/>
  <c r="H645"/>
  <c r="I645"/>
  <c r="H646"/>
  <c r="I646"/>
  <c r="H647"/>
  <c r="I647"/>
  <c r="H648"/>
  <c r="I648"/>
  <c r="H649"/>
  <c r="I649"/>
  <c r="H650"/>
  <c r="I650"/>
  <c r="H651"/>
  <c r="I651"/>
  <c r="H652"/>
  <c r="I652"/>
  <c r="H653"/>
  <c r="I653"/>
  <c r="H654"/>
  <c r="I654"/>
  <c r="H655"/>
  <c r="I655"/>
  <c r="H656"/>
  <c r="I656"/>
  <c r="H657"/>
  <c r="I657"/>
  <c r="H658"/>
  <c r="I658"/>
  <c r="H659"/>
  <c r="I659"/>
  <c r="H660"/>
  <c r="I660"/>
  <c r="H661"/>
  <c r="I661"/>
  <c r="H662"/>
  <c r="I662"/>
  <c r="H663"/>
  <c r="I663"/>
  <c r="H664"/>
  <c r="I664"/>
  <c r="H665"/>
  <c r="I665"/>
  <c r="H666"/>
  <c r="I666"/>
  <c r="H667"/>
  <c r="I667"/>
  <c r="H668"/>
  <c r="I668"/>
  <c r="H669"/>
  <c r="I669"/>
  <c r="H670"/>
  <c r="I670"/>
  <c r="H671"/>
  <c r="I671"/>
  <c r="H672"/>
  <c r="I672"/>
  <c r="H673"/>
  <c r="I673"/>
  <c r="H674"/>
  <c r="I674"/>
  <c r="H675"/>
  <c r="I675"/>
  <c r="H676"/>
  <c r="I676"/>
  <c r="H677"/>
  <c r="I677"/>
  <c r="H678"/>
  <c r="I678"/>
  <c r="H679"/>
  <c r="I679"/>
  <c r="H680"/>
  <c r="I680"/>
  <c r="H681"/>
  <c r="I681"/>
  <c r="H682"/>
  <c r="I682"/>
  <c r="H683"/>
  <c r="I683"/>
  <c r="H684"/>
  <c r="I684"/>
  <c r="H685"/>
  <c r="I685"/>
  <c r="H686"/>
  <c r="I686"/>
  <c r="H687"/>
  <c r="I687"/>
  <c r="H688"/>
  <c r="I688"/>
  <c r="H689"/>
  <c r="I689"/>
  <c r="H690"/>
  <c r="I690"/>
  <c r="H691"/>
  <c r="I691"/>
  <c r="H692"/>
  <c r="I692"/>
  <c r="H693"/>
  <c r="I693"/>
  <c r="H694"/>
  <c r="I694"/>
  <c r="H695"/>
  <c r="I695"/>
  <c r="H696"/>
  <c r="I696"/>
  <c r="H697"/>
  <c r="I697"/>
  <c r="H698"/>
  <c r="I698"/>
  <c r="H699"/>
  <c r="I699"/>
  <c r="H700"/>
  <c r="I700"/>
  <c r="H701"/>
  <c r="I701"/>
  <c r="H702"/>
  <c r="I702"/>
  <c r="H703"/>
  <c r="I703"/>
  <c r="H704"/>
  <c r="I704"/>
  <c r="H705"/>
  <c r="I705"/>
  <c r="H706"/>
  <c r="I706"/>
  <c r="H707"/>
  <c r="I707"/>
  <c r="H708"/>
  <c r="I708"/>
  <c r="H709"/>
  <c r="I709"/>
  <c r="H710"/>
  <c r="I710"/>
  <c r="H711"/>
  <c r="I711"/>
  <c r="H712"/>
  <c r="I712"/>
  <c r="H713"/>
  <c r="I713"/>
  <c r="H714"/>
  <c r="I714"/>
  <c r="H715"/>
  <c r="I715"/>
  <c r="H716"/>
  <c r="I716"/>
  <c r="H717"/>
  <c r="I717"/>
  <c r="H718"/>
  <c r="I718"/>
  <c r="H719"/>
  <c r="I719"/>
  <c r="H720"/>
  <c r="I720"/>
  <c r="H721"/>
  <c r="I721"/>
  <c r="H722"/>
  <c r="I722"/>
  <c r="H723"/>
  <c r="I723"/>
  <c r="H724"/>
  <c r="I724"/>
  <c r="H725"/>
  <c r="I725"/>
  <c r="H726"/>
  <c r="I726"/>
  <c r="H727"/>
  <c r="I727"/>
  <c r="H728"/>
  <c r="I728"/>
  <c r="H729"/>
  <c r="I729"/>
  <c r="H730"/>
  <c r="I730"/>
  <c r="H731"/>
  <c r="I731"/>
  <c r="H732"/>
  <c r="I732"/>
  <c r="H733"/>
  <c r="I733"/>
  <c r="H734"/>
  <c r="I734"/>
  <c r="H735"/>
  <c r="I735"/>
  <c r="H736"/>
  <c r="I736"/>
  <c r="H737"/>
  <c r="I737"/>
  <c r="H738"/>
  <c r="I738"/>
  <c r="H739"/>
  <c r="I739"/>
  <c r="H740"/>
  <c r="I740"/>
  <c r="H741"/>
  <c r="I741"/>
  <c r="H742"/>
  <c r="I742"/>
  <c r="H743"/>
  <c r="I743"/>
  <c r="H744"/>
  <c r="I744"/>
  <c r="H745"/>
  <c r="I745"/>
  <c r="H746"/>
  <c r="I746"/>
  <c r="H747"/>
  <c r="I747"/>
  <c r="H748"/>
  <c r="I748"/>
  <c r="H749"/>
  <c r="I749"/>
  <c r="H750"/>
  <c r="I750"/>
  <c r="H751"/>
  <c r="I751"/>
  <c r="H752"/>
  <c r="I752"/>
  <c r="H753"/>
  <c r="I753"/>
  <c r="H754"/>
  <c r="I754"/>
  <c r="H755"/>
  <c r="I755"/>
  <c r="H756"/>
  <c r="I756"/>
  <c r="H757"/>
  <c r="I757"/>
  <c r="H758"/>
  <c r="I758"/>
  <c r="H759"/>
  <c r="I759"/>
  <c r="H760"/>
  <c r="I760"/>
  <c r="H761"/>
  <c r="I761"/>
  <c r="H762"/>
  <c r="I762"/>
  <c r="H763"/>
  <c r="I763"/>
  <c r="H764"/>
  <c r="I764"/>
  <c r="H765"/>
  <c r="I765"/>
  <c r="H766"/>
  <c r="I766"/>
  <c r="H767"/>
  <c r="I767"/>
  <c r="H768"/>
  <c r="I768"/>
  <c r="H769"/>
  <c r="I769"/>
  <c r="H770"/>
  <c r="I770"/>
  <c r="H771"/>
  <c r="I771"/>
  <c r="H772"/>
  <c r="I772"/>
  <c r="H773"/>
  <c r="I773"/>
  <c r="H774"/>
  <c r="I774"/>
  <c r="H775"/>
  <c r="I775"/>
  <c r="H776"/>
  <c r="I776"/>
  <c r="H777"/>
  <c r="I777"/>
  <c r="H778"/>
  <c r="I778"/>
  <c r="H779"/>
  <c r="I779"/>
  <c r="H780"/>
  <c r="I780"/>
  <c r="H781"/>
  <c r="I781"/>
  <c r="H782"/>
  <c r="I782"/>
  <c r="H783"/>
  <c r="I783"/>
  <c r="H784"/>
  <c r="I784"/>
  <c r="H785"/>
  <c r="I785"/>
  <c r="H786"/>
  <c r="I786"/>
  <c r="H787"/>
  <c r="I787"/>
  <c r="H788"/>
  <c r="I788"/>
  <c r="H789"/>
  <c r="I789"/>
  <c r="H790"/>
  <c r="I790"/>
  <c r="H791"/>
  <c r="I791"/>
  <c r="H792"/>
  <c r="I792"/>
  <c r="H793"/>
  <c r="I793"/>
  <c r="H794"/>
  <c r="I794"/>
  <c r="H795"/>
  <c r="I795"/>
  <c r="H796"/>
  <c r="I796"/>
  <c r="H797"/>
  <c r="I797"/>
  <c r="H798"/>
  <c r="I798"/>
  <c r="H799"/>
  <c r="I799"/>
  <c r="H800"/>
  <c r="I800"/>
  <c r="H801"/>
  <c r="I801"/>
  <c r="H802"/>
  <c r="I802"/>
  <c r="H803"/>
  <c r="I803"/>
  <c r="H804"/>
  <c r="I804"/>
  <c r="H805"/>
  <c r="I805"/>
  <c r="H806"/>
  <c r="I806"/>
  <c r="H807"/>
  <c r="I807"/>
  <c r="H808"/>
  <c r="I808"/>
  <c r="H809"/>
  <c r="I809"/>
  <c r="H810"/>
  <c r="I810"/>
  <c r="H811"/>
  <c r="I811"/>
  <c r="H812"/>
  <c r="I812"/>
  <c r="H813"/>
  <c r="I813"/>
  <c r="H814"/>
  <c r="I814"/>
  <c r="H815"/>
  <c r="I815"/>
  <c r="H816"/>
  <c r="I816"/>
  <c r="H817"/>
  <c r="I817"/>
  <c r="H818"/>
  <c r="I818"/>
  <c r="H819"/>
  <c r="I819"/>
  <c r="H820"/>
  <c r="I820"/>
  <c r="H821"/>
  <c r="I821"/>
  <c r="H822"/>
  <c r="I822"/>
  <c r="H823"/>
  <c r="I823"/>
  <c r="H824"/>
  <c r="I824"/>
  <c r="H825"/>
  <c r="I825"/>
  <c r="H826"/>
  <c r="I826"/>
  <c r="H827"/>
  <c r="I827"/>
  <c r="H828"/>
  <c r="I828"/>
  <c r="H829"/>
  <c r="I829"/>
  <c r="H830"/>
  <c r="I830"/>
  <c r="H831"/>
  <c r="I831"/>
  <c r="H832"/>
  <c r="I832"/>
  <c r="H833"/>
  <c r="I833"/>
  <c r="H834"/>
  <c r="I834"/>
  <c r="H835"/>
  <c r="I835"/>
  <c r="H836"/>
  <c r="I836"/>
  <c r="H837"/>
  <c r="I837"/>
  <c r="H838"/>
  <c r="I838"/>
  <c r="H839"/>
  <c r="I839"/>
  <c r="H840"/>
  <c r="I840"/>
  <c r="H841"/>
  <c r="I841"/>
  <c r="H842"/>
  <c r="I842"/>
  <c r="H843"/>
  <c r="I843"/>
  <c r="H844"/>
  <c r="I844"/>
  <c r="H845"/>
  <c r="I845"/>
  <c r="H846"/>
  <c r="I846"/>
  <c r="H847"/>
  <c r="I847"/>
  <c r="H848"/>
  <c r="I848"/>
  <c r="H849"/>
  <c r="I849"/>
  <c r="H850"/>
  <c r="I850"/>
  <c r="H851"/>
  <c r="I851"/>
  <c r="H852"/>
  <c r="I852"/>
  <c r="H853"/>
  <c r="I853"/>
  <c r="H854"/>
  <c r="I854"/>
  <c r="H855"/>
  <c r="I855"/>
  <c r="H856"/>
  <c r="I856"/>
  <c r="H857"/>
  <c r="I857"/>
  <c r="H858"/>
  <c r="I858"/>
  <c r="H859"/>
  <c r="I859"/>
  <c r="H860"/>
  <c r="I860"/>
  <c r="H861"/>
  <c r="I861"/>
  <c r="H862"/>
  <c r="I862"/>
  <c r="H863"/>
  <c r="I863"/>
  <c r="H864"/>
  <c r="I864"/>
  <c r="H865"/>
  <c r="I865"/>
  <c r="H866"/>
  <c r="I866"/>
  <c r="H867"/>
  <c r="I867"/>
  <c r="H868"/>
  <c r="I868"/>
  <c r="H869"/>
  <c r="I869"/>
  <c r="H870"/>
  <c r="I870"/>
  <c r="H871"/>
  <c r="I871"/>
  <c r="H872"/>
  <c r="I872"/>
  <c r="H873"/>
  <c r="I873"/>
  <c r="H874"/>
  <c r="I874"/>
  <c r="H875"/>
  <c r="I875"/>
  <c r="H876"/>
  <c r="I876"/>
  <c r="H877"/>
  <c r="I877"/>
  <c r="H878"/>
  <c r="I878"/>
  <c r="H879"/>
  <c r="I879"/>
  <c r="H880"/>
  <c r="I880"/>
  <c r="H881"/>
  <c r="I881"/>
  <c r="H882"/>
  <c r="I882"/>
  <c r="H883"/>
  <c r="I883"/>
  <c r="H884"/>
  <c r="I884"/>
  <c r="H885"/>
  <c r="I885"/>
  <c r="H886"/>
  <c r="I886"/>
  <c r="H887"/>
  <c r="I887"/>
  <c r="H888"/>
  <c r="I888"/>
  <c r="H889"/>
  <c r="I889"/>
  <c r="H890"/>
  <c r="I890"/>
  <c r="H891"/>
  <c r="I891"/>
  <c r="H892"/>
  <c r="I892"/>
  <c r="H893"/>
  <c r="I893"/>
  <c r="H894"/>
  <c r="I894"/>
  <c r="H895"/>
  <c r="I895"/>
  <c r="H896"/>
  <c r="I896"/>
  <c r="H897"/>
  <c r="I897"/>
  <c r="H898"/>
  <c r="I898"/>
  <c r="H899"/>
  <c r="I899"/>
  <c r="H900"/>
  <c r="I900"/>
  <c r="H901"/>
  <c r="I901"/>
  <c r="H902"/>
  <c r="I902"/>
  <c r="H903"/>
  <c r="I903"/>
  <c r="H904"/>
  <c r="I904"/>
  <c r="H905"/>
  <c r="I905"/>
  <c r="H906"/>
  <c r="I906"/>
  <c r="H907"/>
  <c r="I907"/>
  <c r="H908"/>
  <c r="I908"/>
  <c r="H909"/>
  <c r="I909"/>
  <c r="H910"/>
  <c r="I910"/>
  <c r="H911"/>
  <c r="I911"/>
  <c r="H912"/>
  <c r="I912"/>
  <c r="H913"/>
  <c r="I913"/>
  <c r="H914"/>
  <c r="I914"/>
  <c r="H915"/>
  <c r="I915"/>
  <c r="H916"/>
  <c r="I916"/>
  <c r="H917"/>
  <c r="I917"/>
  <c r="H918"/>
  <c r="I918"/>
  <c r="H919"/>
  <c r="I919"/>
  <c r="H920"/>
  <c r="I920"/>
  <c r="H921"/>
  <c r="I921"/>
  <c r="H922"/>
  <c r="I922"/>
  <c r="H923"/>
  <c r="I923"/>
  <c r="H924"/>
  <c r="I924"/>
  <c r="H925"/>
  <c r="I925"/>
  <c r="H926"/>
  <c r="I926"/>
  <c r="H927"/>
  <c r="I927"/>
  <c r="H928"/>
  <c r="I928"/>
  <c r="H929"/>
  <c r="I929"/>
  <c r="H930"/>
  <c r="I930"/>
  <c r="H931"/>
  <c r="I931"/>
  <c r="H932"/>
  <c r="I932"/>
  <c r="H933"/>
  <c r="I933"/>
  <c r="H934"/>
  <c r="I934"/>
  <c r="H935"/>
  <c r="I935"/>
  <c r="H936"/>
  <c r="I936"/>
  <c r="H937"/>
  <c r="I937"/>
  <c r="H938"/>
  <c r="I938"/>
  <c r="H939"/>
  <c r="I939"/>
  <c r="H940"/>
  <c r="I940"/>
  <c r="H941"/>
  <c r="I941"/>
  <c r="H942"/>
  <c r="I942"/>
  <c r="H943"/>
  <c r="I943"/>
  <c r="H944"/>
  <c r="I944"/>
  <c r="H945"/>
  <c r="I945"/>
  <c r="H946"/>
  <c r="I946"/>
  <c r="H947"/>
  <c r="I947"/>
  <c r="H948"/>
  <c r="I948"/>
  <c r="H949"/>
  <c r="I949"/>
  <c r="H950"/>
  <c r="I950"/>
  <c r="H951"/>
  <c r="I951"/>
  <c r="H952"/>
  <c r="I952"/>
  <c r="H953"/>
  <c r="I953"/>
  <c r="H954"/>
  <c r="I954"/>
  <c r="H955"/>
  <c r="I955"/>
  <c r="H956"/>
  <c r="I956"/>
  <c r="H957"/>
  <c r="I957"/>
  <c r="H958"/>
  <c r="I958"/>
  <c r="H959"/>
  <c r="I959"/>
  <c r="H960"/>
  <c r="I960"/>
  <c r="H961"/>
  <c r="I961"/>
  <c r="H962"/>
  <c r="I962"/>
  <c r="H963"/>
  <c r="I963"/>
  <c r="H964"/>
  <c r="I964"/>
  <c r="H965"/>
  <c r="I965"/>
  <c r="H966"/>
  <c r="I966"/>
  <c r="H967"/>
  <c r="I967"/>
  <c r="H968"/>
  <c r="I968"/>
  <c r="H969"/>
  <c r="I969"/>
  <c r="H970"/>
  <c r="I970"/>
  <c r="H971"/>
  <c r="I971"/>
  <c r="H972"/>
  <c r="I972"/>
  <c r="H973"/>
  <c r="I973"/>
  <c r="H974"/>
  <c r="I974"/>
  <c r="H975"/>
  <c r="I975"/>
  <c r="H976"/>
  <c r="I976"/>
  <c r="H977"/>
  <c r="I977"/>
  <c r="H978"/>
  <c r="I978"/>
  <c r="H979"/>
  <c r="I979"/>
  <c r="H980"/>
  <c r="I980"/>
  <c r="H981"/>
  <c r="I981"/>
  <c r="H982"/>
  <c r="I982"/>
  <c r="H983"/>
  <c r="I983"/>
  <c r="H984"/>
  <c r="I984"/>
  <c r="H985"/>
  <c r="I985"/>
  <c r="H986"/>
  <c r="I986"/>
  <c r="H987"/>
  <c r="I987"/>
  <c r="H988"/>
  <c r="I988"/>
  <c r="H989"/>
  <c r="I989"/>
  <c r="H990"/>
  <c r="I990"/>
  <c r="H991"/>
  <c r="I991"/>
  <c r="H992"/>
  <c r="I992"/>
  <c r="H993"/>
  <c r="I993"/>
  <c r="H994"/>
  <c r="I994"/>
  <c r="H995"/>
  <c r="I995"/>
  <c r="H996"/>
  <c r="I996"/>
  <c r="H997"/>
  <c r="I997"/>
  <c r="H998"/>
  <c r="I998"/>
  <c r="H999"/>
  <c r="I999"/>
  <c r="H1000"/>
  <c r="I1000"/>
  <c r="H1001"/>
  <c r="I1001"/>
  <c r="H1002"/>
  <c r="I1002"/>
  <c r="H1003"/>
  <c r="I1003"/>
  <c r="H1004"/>
  <c r="I1004"/>
  <c r="H1005"/>
  <c r="I1005"/>
  <c r="H1006"/>
  <c r="I1006"/>
  <c r="H1007"/>
  <c r="I1007"/>
  <c r="H1008"/>
  <c r="I1008"/>
  <c r="H1009"/>
  <c r="I1009"/>
  <c r="H1010"/>
  <c r="I1010"/>
  <c r="H1011"/>
  <c r="I1011"/>
  <c r="H1012"/>
  <c r="I1012"/>
  <c r="H1013"/>
  <c r="I1013"/>
  <c r="H1014"/>
  <c r="I1014"/>
  <c r="H1015"/>
  <c r="I1015"/>
  <c r="H1016"/>
  <c r="I1016"/>
  <c r="H1017"/>
  <c r="I1017"/>
  <c r="H1018"/>
  <c r="I1018"/>
  <c r="H1019"/>
  <c r="I1019"/>
  <c r="H1020"/>
  <c r="I1020"/>
  <c r="H1021"/>
  <c r="I1021"/>
  <c r="H1022"/>
  <c r="I1022"/>
  <c r="H1023"/>
  <c r="I1023"/>
  <c r="H1024"/>
  <c r="I1024"/>
  <c r="H1025"/>
  <c r="I1025"/>
  <c r="H1026"/>
  <c r="I1026"/>
  <c r="H1027"/>
  <c r="I1027"/>
  <c r="H1028"/>
  <c r="I1028"/>
  <c r="H1029"/>
  <c r="I1029"/>
  <c r="H1030"/>
  <c r="I1030"/>
  <c r="H1031"/>
  <c r="I1031"/>
  <c r="H1032"/>
  <c r="I1032"/>
  <c r="H1033"/>
  <c r="I1033"/>
  <c r="H1034"/>
  <c r="I1034"/>
  <c r="H1035"/>
  <c r="I1035"/>
  <c r="H1036"/>
  <c r="I1036"/>
  <c r="H1037"/>
  <c r="I1037"/>
  <c r="H1038"/>
  <c r="I1038"/>
  <c r="H1039"/>
  <c r="I1039"/>
  <c r="H1040"/>
  <c r="I1040"/>
  <c r="H1041"/>
  <c r="I1041"/>
  <c r="H1042"/>
  <c r="I1042"/>
  <c r="H1043"/>
  <c r="I1043"/>
  <c r="H1044"/>
  <c r="I1044"/>
  <c r="H1045"/>
  <c r="I1045"/>
  <c r="H1046"/>
  <c r="I1046"/>
  <c r="H1047"/>
  <c r="I1047"/>
  <c r="H1048"/>
  <c r="I1048"/>
  <c r="H1049"/>
  <c r="I1049"/>
  <c r="H1050"/>
  <c r="I1050"/>
  <c r="H1051"/>
  <c r="I1051"/>
  <c r="H1052"/>
  <c r="I1052"/>
  <c r="H1053"/>
  <c r="I1053"/>
  <c r="H1054"/>
  <c r="I1054"/>
  <c r="H1055"/>
  <c r="I1055"/>
  <c r="H1056"/>
  <c r="I1056"/>
  <c r="H1057"/>
  <c r="I1057"/>
  <c r="H1058"/>
  <c r="I1058"/>
  <c r="H1059"/>
  <c r="I1059"/>
  <c r="H1060"/>
  <c r="I1060"/>
  <c r="H1061"/>
  <c r="I1061"/>
  <c r="H1062"/>
  <c r="I1062"/>
  <c r="H1063"/>
  <c r="I1063"/>
  <c r="H1064"/>
  <c r="I1064"/>
  <c r="H1065"/>
  <c r="I1065"/>
  <c r="H1066"/>
  <c r="I1066"/>
  <c r="H1067"/>
  <c r="I1067"/>
  <c r="H1068"/>
  <c r="I1068"/>
  <c r="H1069"/>
  <c r="I1069"/>
  <c r="H1070"/>
  <c r="I1070"/>
  <c r="H1071"/>
  <c r="I1071"/>
  <c r="H1072"/>
  <c r="I1072"/>
  <c r="H1073"/>
  <c r="I1073"/>
  <c r="H1074"/>
  <c r="I1074"/>
  <c r="H1075"/>
  <c r="I1075"/>
  <c r="H1076"/>
  <c r="I1076"/>
  <c r="H1077"/>
  <c r="I1077"/>
  <c r="H1078"/>
  <c r="I1078"/>
  <c r="H1079"/>
  <c r="I1079"/>
  <c r="H1080"/>
  <c r="I1080"/>
  <c r="H1081"/>
  <c r="I1081"/>
  <c r="H1082"/>
  <c r="I1082"/>
  <c r="H1083"/>
  <c r="I1083"/>
  <c r="H1084"/>
  <c r="I1084"/>
  <c r="H1085"/>
  <c r="I1085"/>
  <c r="H1086"/>
  <c r="I1086"/>
  <c r="H1087"/>
  <c r="I1087"/>
  <c r="H1088"/>
  <c r="I1088"/>
  <c r="H1089"/>
  <c r="I1089"/>
  <c r="H1090"/>
  <c r="I1090"/>
  <c r="H1091"/>
  <c r="I1091"/>
  <c r="H1092"/>
  <c r="I1092"/>
  <c r="H1093"/>
  <c r="I1093"/>
  <c r="H1094"/>
  <c r="I1094"/>
  <c r="H1095"/>
  <c r="I1095"/>
  <c r="H1096"/>
  <c r="I1096"/>
  <c r="H1097"/>
  <c r="I1097"/>
  <c r="H1098"/>
  <c r="I1098"/>
  <c r="H1099"/>
  <c r="I1099"/>
  <c r="H1100"/>
  <c r="I1100"/>
  <c r="H1101"/>
  <c r="I1101"/>
  <c r="H1102"/>
  <c r="I1102"/>
  <c r="H1103"/>
  <c r="I1103"/>
  <c r="H1104"/>
  <c r="I1104"/>
  <c r="H1105"/>
  <c r="I1105"/>
  <c r="H1106"/>
  <c r="I1106"/>
  <c r="H1107"/>
  <c r="I1107"/>
  <c r="H1108"/>
  <c r="I1108"/>
  <c r="H1109"/>
  <c r="I1109"/>
  <c r="H1110"/>
  <c r="I1110"/>
  <c r="H1111"/>
  <c r="I1111"/>
  <c r="H1112"/>
  <c r="I1112"/>
  <c r="H1113"/>
  <c r="I1113"/>
  <c r="H1114"/>
  <c r="I1114"/>
  <c r="H1115"/>
  <c r="I1115"/>
  <c r="H1116"/>
  <c r="I1116"/>
  <c r="H1117"/>
  <c r="I1117"/>
  <c r="H1118"/>
  <c r="I1118"/>
  <c r="H1119"/>
  <c r="I1119"/>
  <c r="H1120"/>
  <c r="I1120"/>
  <c r="H1121"/>
  <c r="I1121"/>
  <c r="H1122"/>
  <c r="I1122"/>
  <c r="H1123"/>
  <c r="I1123"/>
  <c r="H1124"/>
  <c r="I1124"/>
  <c r="H1125"/>
  <c r="I1125"/>
  <c r="H1126"/>
  <c r="I1126"/>
  <c r="H1127"/>
  <c r="I1127"/>
  <c r="H1128"/>
  <c r="I1128"/>
  <c r="H1129"/>
  <c r="I1129"/>
  <c r="H1130"/>
  <c r="I1130"/>
  <c r="H1131"/>
  <c r="I1131"/>
  <c r="H1132"/>
  <c r="I1132"/>
  <c r="H1133"/>
  <c r="I1133"/>
  <c r="H1134"/>
  <c r="I1134"/>
  <c r="H1135"/>
  <c r="I1135"/>
  <c r="H1136"/>
  <c r="I1136"/>
  <c r="H1137"/>
  <c r="I1137"/>
  <c r="H1138"/>
  <c r="I1138"/>
  <c r="H1139"/>
  <c r="I1139"/>
  <c r="H1140"/>
  <c r="I1140"/>
  <c r="H1141"/>
  <c r="I1141"/>
  <c r="H1142"/>
  <c r="I1142"/>
  <c r="H1143"/>
  <c r="I1143"/>
  <c r="H1144"/>
  <c r="I1144"/>
  <c r="H1145"/>
  <c r="I1145"/>
  <c r="H1146"/>
  <c r="I1146"/>
  <c r="H1147"/>
  <c r="I1147"/>
  <c r="H1148"/>
  <c r="I1148"/>
  <c r="H1149"/>
  <c r="I1149"/>
  <c r="H1150"/>
  <c r="I1150"/>
  <c r="H1151"/>
  <c r="I1151"/>
  <c r="H1152"/>
  <c r="I1152"/>
  <c r="H1153"/>
  <c r="I1153"/>
  <c r="H1154"/>
  <c r="I1154"/>
  <c r="H1155"/>
  <c r="I1155"/>
  <c r="H1156"/>
  <c r="I1156"/>
  <c r="H1157"/>
  <c r="I1157"/>
  <c r="H1158"/>
  <c r="I1158"/>
  <c r="H1159"/>
  <c r="I1159"/>
  <c r="H1160"/>
  <c r="I1160"/>
  <c r="H1161"/>
  <c r="I1161"/>
  <c r="H1162"/>
  <c r="I1162"/>
  <c r="H1163"/>
  <c r="I1163"/>
  <c r="H1164"/>
  <c r="I1164"/>
  <c r="H1165"/>
  <c r="I1165"/>
  <c r="H1166"/>
  <c r="I1166"/>
  <c r="H1167"/>
  <c r="I1167"/>
  <c r="H1168"/>
  <c r="I1168"/>
  <c r="H1169"/>
  <c r="I1169"/>
  <c r="H1170"/>
  <c r="I1170"/>
  <c r="H1171"/>
  <c r="I1171"/>
  <c r="H1172"/>
  <c r="I1172"/>
  <c r="H1173"/>
  <c r="I1173"/>
  <c r="H1174"/>
  <c r="I1174"/>
  <c r="H1175"/>
  <c r="I1175"/>
  <c r="H1176"/>
  <c r="I1176"/>
  <c r="H1177"/>
  <c r="I1177"/>
  <c r="H1178"/>
  <c r="I1178"/>
  <c r="H1179"/>
  <c r="I1179"/>
  <c r="H1180"/>
  <c r="I1180"/>
  <c r="H1181"/>
  <c r="I1181"/>
  <c r="H1182"/>
  <c r="I1182"/>
  <c r="H1183"/>
  <c r="I1183"/>
  <c r="H1184"/>
  <c r="I1184"/>
  <c r="H1185"/>
  <c r="I1185"/>
  <c r="H1186"/>
  <c r="I1186"/>
  <c r="H1187"/>
  <c r="I1187"/>
  <c r="H1188"/>
  <c r="I1188"/>
  <c r="H1189"/>
  <c r="I1189"/>
  <c r="H1190"/>
  <c r="I1190"/>
  <c r="H1191"/>
  <c r="I1191"/>
  <c r="H1192"/>
  <c r="I1192"/>
  <c r="H1193"/>
  <c r="I1193"/>
  <c r="H1194"/>
  <c r="I1194"/>
  <c r="H1195"/>
  <c r="I1195"/>
  <c r="H1196"/>
  <c r="I1196"/>
  <c r="H1197"/>
  <c r="I1197"/>
  <c r="H1198"/>
  <c r="I1198"/>
  <c r="H1199"/>
  <c r="I1199"/>
  <c r="H1200"/>
  <c r="I1200"/>
  <c r="H1201"/>
  <c r="I1201"/>
  <c r="H1202"/>
  <c r="I1202"/>
  <c r="H1203"/>
  <c r="I1203"/>
  <c r="H1204"/>
  <c r="I1204"/>
  <c r="H1205"/>
  <c r="I1205"/>
  <c r="H1206"/>
  <c r="I1206"/>
  <c r="H1207"/>
  <c r="I1207"/>
  <c r="H1208"/>
  <c r="I1208"/>
  <c r="H1209"/>
  <c r="I1209"/>
  <c r="H1210"/>
  <c r="I1210"/>
  <c r="H1211"/>
  <c r="I1211"/>
  <c r="H1212"/>
  <c r="I1212"/>
  <c r="H1213"/>
  <c r="I1213"/>
  <c r="H1214"/>
  <c r="I1214"/>
  <c r="H1215"/>
  <c r="I1215"/>
  <c r="H1216"/>
  <c r="I1216"/>
  <c r="H1217"/>
  <c r="I1217"/>
  <c r="H1218"/>
  <c r="I1218"/>
  <c r="H1219"/>
  <c r="I1219"/>
  <c r="H1220"/>
  <c r="I1220"/>
  <c r="H1221"/>
  <c r="I1221"/>
  <c r="H1222"/>
  <c r="I1222"/>
  <c r="H1223"/>
  <c r="I1223"/>
  <c r="H1224"/>
  <c r="I1224"/>
  <c r="H1225"/>
  <c r="I1225"/>
  <c r="H1226"/>
  <c r="I1226"/>
  <c r="H1227"/>
  <c r="I1227"/>
  <c r="H1228"/>
  <c r="I1228"/>
  <c r="H1229"/>
  <c r="I1229"/>
  <c r="H1230"/>
  <c r="I1230"/>
  <c r="H1231"/>
  <c r="I1231"/>
  <c r="H1232"/>
  <c r="I1232"/>
  <c r="H1233"/>
  <c r="I1233"/>
  <c r="H1234"/>
  <c r="I1234"/>
  <c r="H1235"/>
  <c r="I1235"/>
  <c r="H1236"/>
  <c r="I1236"/>
  <c r="H1237"/>
  <c r="I1237"/>
  <c r="H1238"/>
  <c r="I1238"/>
  <c r="H1239"/>
  <c r="I1239"/>
  <c r="H1240"/>
  <c r="I1240"/>
  <c r="H1241"/>
  <c r="I1241"/>
  <c r="H1242"/>
  <c r="I1242"/>
  <c r="H1243"/>
  <c r="I1243"/>
  <c r="H1244"/>
  <c r="I1244"/>
  <c r="H1245"/>
  <c r="I1245"/>
  <c r="H1246"/>
  <c r="I1246"/>
  <c r="H1247"/>
  <c r="I1247"/>
  <c r="H1248"/>
  <c r="I1248"/>
  <c r="H1249"/>
  <c r="I1249"/>
  <c r="H1250"/>
  <c r="I1250"/>
  <c r="H1251"/>
  <c r="I1251"/>
  <c r="H1252"/>
  <c r="I1252"/>
  <c r="H1253"/>
  <c r="I1253"/>
  <c r="H1254"/>
  <c r="I1254"/>
  <c r="H1255"/>
  <c r="I1255"/>
  <c r="H1256"/>
  <c r="I1256"/>
  <c r="H1257"/>
  <c r="I1257"/>
  <c r="H1258"/>
  <c r="I1258"/>
  <c r="H1259"/>
  <c r="I1259"/>
  <c r="H1260"/>
  <c r="I1260"/>
  <c r="H1261"/>
  <c r="I1261"/>
  <c r="H1262"/>
  <c r="I1262"/>
  <c r="H1263"/>
  <c r="I1263"/>
  <c r="H1264"/>
  <c r="I1264"/>
  <c r="H1265"/>
  <c r="I1265"/>
  <c r="H1266"/>
  <c r="I1266"/>
  <c r="H1267"/>
  <c r="I1267"/>
  <c r="H1268"/>
  <c r="I1268"/>
  <c r="H1269"/>
  <c r="I1269"/>
  <c r="H1270"/>
  <c r="I1270"/>
  <c r="H1271"/>
  <c r="I1271"/>
  <c r="H1272"/>
  <c r="I1272"/>
  <c r="H1273"/>
  <c r="I1273"/>
  <c r="H1274"/>
  <c r="I1274"/>
  <c r="H1275"/>
  <c r="I1275"/>
  <c r="H1276"/>
  <c r="I1276"/>
  <c r="H1277"/>
  <c r="I1277"/>
  <c r="H1278"/>
  <c r="I1278"/>
  <c r="H1279"/>
  <c r="I1279"/>
  <c r="H1280"/>
  <c r="I1280"/>
  <c r="H1281"/>
  <c r="I1281"/>
  <c r="H1282"/>
  <c r="I1282"/>
  <c r="H1283"/>
  <c r="I1283"/>
  <c r="H1284"/>
  <c r="I1284"/>
  <c r="H1285"/>
  <c r="I1285"/>
  <c r="H1286"/>
  <c r="I1286"/>
  <c r="H1287"/>
  <c r="I1287"/>
  <c r="H1288"/>
  <c r="I1288"/>
  <c r="H1289"/>
  <c r="I1289"/>
  <c r="H1290"/>
  <c r="I1290"/>
  <c r="H1291"/>
  <c r="I1291"/>
  <c r="H1292"/>
  <c r="I1292"/>
  <c r="H1293"/>
  <c r="I1293"/>
  <c r="H1294"/>
  <c r="I1294"/>
  <c r="H1295"/>
  <c r="I1295"/>
  <c r="H1296"/>
  <c r="I1296"/>
  <c r="H1297"/>
  <c r="I1297"/>
  <c r="H1298"/>
  <c r="I1298"/>
  <c r="H1299"/>
  <c r="I1299"/>
  <c r="H1300"/>
  <c r="I1300"/>
  <c r="H1301"/>
  <c r="I1301"/>
  <c r="H1302"/>
  <c r="I1302"/>
  <c r="H1303"/>
  <c r="I1303"/>
  <c r="H1304"/>
  <c r="I1304"/>
  <c r="H1305"/>
  <c r="I1305"/>
  <c r="H1306"/>
  <c r="I1306"/>
  <c r="H1307"/>
  <c r="I1307"/>
  <c r="H1308"/>
  <c r="I1308"/>
  <c r="H1309"/>
  <c r="I1309"/>
  <c r="H1310"/>
  <c r="I1310"/>
  <c r="H1311"/>
  <c r="I1311"/>
  <c r="H1312"/>
  <c r="I1312"/>
  <c r="H1313"/>
  <c r="I1313"/>
  <c r="H1314"/>
  <c r="I1314"/>
  <c r="H1315"/>
  <c r="I1315"/>
  <c r="H1316"/>
  <c r="I1316"/>
  <c r="H1317"/>
  <c r="I1317"/>
  <c r="H1318"/>
  <c r="I1318"/>
  <c r="H1319"/>
  <c r="I1319"/>
  <c r="H1320"/>
  <c r="I1320"/>
  <c r="H1321"/>
  <c r="I1321"/>
  <c r="H1322"/>
  <c r="I1322"/>
  <c r="H1323"/>
  <c r="I1323"/>
  <c r="H1324"/>
  <c r="I1324"/>
  <c r="H1325"/>
  <c r="I1325"/>
  <c r="H1326"/>
  <c r="I1326"/>
  <c r="H1327"/>
  <c r="I1327"/>
  <c r="H1328"/>
  <c r="I1328"/>
  <c r="H1329"/>
  <c r="I1329"/>
  <c r="H1330"/>
  <c r="I1330"/>
  <c r="H1331"/>
  <c r="I1331"/>
  <c r="H1332"/>
  <c r="I1332"/>
  <c r="H1333"/>
  <c r="I1333"/>
  <c r="H1334"/>
  <c r="I1334"/>
  <c r="H1335"/>
  <c r="I1335"/>
  <c r="H1336"/>
  <c r="I1336"/>
  <c r="H1337"/>
  <c r="I1337"/>
  <c r="H1338"/>
  <c r="I1338"/>
  <c r="H1339"/>
  <c r="I1339"/>
  <c r="H1340"/>
  <c r="I1340"/>
  <c r="H1341"/>
  <c r="I1341"/>
  <c r="H1342"/>
  <c r="I1342"/>
  <c r="H1343"/>
  <c r="I1343"/>
  <c r="H1344"/>
  <c r="I1344"/>
  <c r="H1345"/>
  <c r="I1345"/>
  <c r="H1346"/>
  <c r="I1346"/>
  <c r="H1347"/>
  <c r="I1347"/>
  <c r="H1348"/>
  <c r="I1348"/>
  <c r="H1349"/>
  <c r="I1349"/>
  <c r="H1350"/>
  <c r="I1350"/>
  <c r="H1351"/>
  <c r="I1351"/>
  <c r="H1352"/>
  <c r="I1352"/>
  <c r="H1353"/>
  <c r="I1353"/>
  <c r="H1354"/>
  <c r="I1354"/>
  <c r="H1355"/>
  <c r="I1355"/>
  <c r="H1356"/>
  <c r="I1356"/>
  <c r="H1357"/>
  <c r="I1357"/>
  <c r="H1358"/>
  <c r="I1358"/>
  <c r="H1359"/>
  <c r="I1359"/>
  <c r="H1360"/>
  <c r="I1360"/>
  <c r="H1361"/>
  <c r="I1361"/>
  <c r="H1362"/>
  <c r="I1362"/>
  <c r="H1363"/>
  <c r="I1363"/>
  <c r="H1364"/>
  <c r="I1364"/>
  <c r="H1365"/>
  <c r="I1365"/>
  <c r="H1366"/>
  <c r="I1366"/>
  <c r="H1367"/>
  <c r="I1367"/>
  <c r="H1368"/>
  <c r="I1368"/>
  <c r="H1369"/>
  <c r="I1369"/>
  <c r="H1370"/>
  <c r="I1370"/>
  <c r="H1371"/>
  <c r="I1371"/>
  <c r="H1372"/>
  <c r="I1372"/>
  <c r="H1373"/>
  <c r="I1373"/>
  <c r="H1374"/>
  <c r="I1374"/>
  <c r="H1375"/>
  <c r="I1375"/>
  <c r="H1376"/>
  <c r="I1376"/>
  <c r="H1377"/>
  <c r="I1377"/>
  <c r="H1378"/>
  <c r="I1378"/>
  <c r="H1379"/>
  <c r="I1379"/>
  <c r="H1380"/>
  <c r="I1380"/>
  <c r="H1381"/>
  <c r="I1381"/>
  <c r="H1382"/>
  <c r="I1382"/>
  <c r="H1383"/>
  <c r="I1383"/>
  <c r="H1384"/>
  <c r="I1384"/>
  <c r="H1385"/>
  <c r="I1385"/>
  <c r="H1386"/>
  <c r="I1386"/>
  <c r="H1387"/>
  <c r="I1387"/>
  <c r="H1388"/>
  <c r="I1388"/>
  <c r="H1389"/>
  <c r="I1389"/>
  <c r="H1390"/>
  <c r="I1390"/>
  <c r="H1391"/>
  <c r="I1391"/>
  <c r="H1392"/>
  <c r="I1392"/>
  <c r="H1393"/>
  <c r="I1393"/>
  <c r="H1394"/>
  <c r="I1394"/>
  <c r="H1395"/>
  <c r="I1395"/>
  <c r="H1396"/>
  <c r="I1396"/>
  <c r="H1397"/>
  <c r="I1397"/>
  <c r="H1398"/>
  <c r="I1398"/>
  <c r="H1399"/>
  <c r="I1399"/>
  <c r="H1400"/>
  <c r="I1400"/>
  <c r="H1401"/>
  <c r="I1401"/>
  <c r="H1402"/>
  <c r="I1402"/>
  <c r="H1403"/>
  <c r="I1403"/>
  <c r="H1404"/>
  <c r="I1404"/>
  <c r="H1405"/>
  <c r="I1405"/>
  <c r="H1406"/>
  <c r="I1406"/>
  <c r="H1407"/>
  <c r="I1407"/>
  <c r="H1408"/>
  <c r="I1408"/>
  <c r="H1409"/>
  <c r="I1409"/>
  <c r="H1410"/>
  <c r="I1410"/>
  <c r="H1411"/>
  <c r="I1411"/>
  <c r="H1412"/>
  <c r="I1412"/>
  <c r="H1413"/>
  <c r="I1413"/>
  <c r="H1414"/>
  <c r="I1414"/>
  <c r="H1415"/>
  <c r="I1415"/>
  <c r="H1416"/>
  <c r="I1416"/>
  <c r="H1417"/>
  <c r="I1417"/>
  <c r="H1418"/>
  <c r="I1418"/>
  <c r="H1419"/>
  <c r="I1419"/>
  <c r="H1420"/>
  <c r="I1420"/>
  <c r="H1421"/>
  <c r="I1421"/>
  <c r="H1422"/>
  <c r="I1422"/>
  <c r="H1423"/>
  <c r="I1423"/>
  <c r="H1424"/>
  <c r="I1424"/>
  <c r="H1425"/>
  <c r="I1425"/>
  <c r="H1426"/>
  <c r="I1426"/>
  <c r="H1427"/>
  <c r="I1427"/>
  <c r="H1428"/>
  <c r="I1428"/>
  <c r="H1429"/>
  <c r="I1429"/>
  <c r="H1430"/>
  <c r="I1430"/>
  <c r="H1431"/>
  <c r="I1431"/>
  <c r="H1432"/>
  <c r="I1432"/>
  <c r="H1433"/>
  <c r="I1433"/>
  <c r="H1434"/>
  <c r="I1434"/>
  <c r="H1435"/>
  <c r="I1435"/>
  <c r="H1436"/>
  <c r="I1436"/>
  <c r="H1437"/>
  <c r="I1437"/>
  <c r="H1438"/>
  <c r="I1438"/>
  <c r="H1439"/>
  <c r="I1439"/>
  <c r="H1440"/>
  <c r="I1440"/>
  <c r="H1441"/>
  <c r="I1441"/>
  <c r="H1442"/>
  <c r="I1442"/>
  <c r="H1443"/>
  <c r="I1443"/>
  <c r="H1444"/>
  <c r="I1444"/>
  <c r="H1445"/>
  <c r="I1445"/>
  <c r="H1446"/>
  <c r="I1446"/>
  <c r="H1447"/>
  <c r="I1447"/>
  <c r="H1448"/>
  <c r="I1448"/>
  <c r="H1449"/>
  <c r="I1449"/>
  <c r="H1450"/>
  <c r="I1450"/>
  <c r="H1451"/>
  <c r="I1451"/>
  <c r="H1452"/>
  <c r="I1452"/>
  <c r="H1453"/>
  <c r="I1453"/>
  <c r="H1454"/>
  <c r="I1454"/>
  <c r="H1455"/>
  <c r="I1455"/>
  <c r="H1456"/>
  <c r="I1456"/>
  <c r="H1457"/>
  <c r="I1457"/>
  <c r="H1458"/>
  <c r="I1458"/>
  <c r="H1459"/>
  <c r="I1459"/>
  <c r="H1460"/>
  <c r="I1460"/>
  <c r="H1461"/>
  <c r="I1461"/>
  <c r="H1462"/>
  <c r="I1462"/>
  <c r="H1463"/>
  <c r="I1463"/>
  <c r="H1464"/>
  <c r="I1464"/>
  <c r="H1465"/>
  <c r="I1465"/>
  <c r="H1466"/>
  <c r="I1466"/>
  <c r="H1467"/>
  <c r="I1467"/>
  <c r="H1468"/>
  <c r="I1468"/>
  <c r="H1469"/>
  <c r="I1469"/>
  <c r="H1470"/>
  <c r="I1470"/>
  <c r="H1471"/>
  <c r="I1471"/>
  <c r="H1472"/>
  <c r="I1472"/>
  <c r="H1473"/>
  <c r="I1473"/>
  <c r="H1474"/>
  <c r="I1474"/>
  <c r="H1475"/>
  <c r="I1475"/>
  <c r="H1476"/>
  <c r="I1476"/>
  <c r="H1477"/>
  <c r="I1477"/>
  <c r="H1478"/>
  <c r="I1478"/>
  <c r="H1479"/>
  <c r="I1479"/>
  <c r="H1480"/>
  <c r="I1480"/>
  <c r="H1481"/>
  <c r="I1481"/>
  <c r="H1482"/>
  <c r="I1482"/>
  <c r="H1483"/>
  <c r="I1483"/>
  <c r="H1484"/>
  <c r="I1484"/>
  <c r="H1485"/>
  <c r="I1485"/>
  <c r="H1486"/>
  <c r="I1486"/>
  <c r="H1487"/>
  <c r="I1487"/>
  <c r="H1488"/>
  <c r="I1488"/>
  <c r="H1489"/>
  <c r="I1489"/>
  <c r="H1490"/>
  <c r="I1490"/>
  <c r="H1491"/>
  <c r="I1491"/>
  <c r="H1492"/>
  <c r="I1492"/>
  <c r="H1493"/>
  <c r="I1493"/>
  <c r="H1494"/>
  <c r="I1494"/>
  <c r="H1495"/>
  <c r="I1495"/>
  <c r="H1496"/>
  <c r="I1496"/>
  <c r="H1497"/>
  <c r="I1497"/>
  <c r="H1498"/>
  <c r="I1498"/>
  <c r="H1499"/>
  <c r="I1499"/>
  <c r="H1500"/>
  <c r="I1500"/>
  <c r="H1501"/>
  <c r="I1501"/>
  <c r="H1502"/>
  <c r="I1502"/>
  <c r="H1503"/>
  <c r="I1503"/>
  <c r="H1504"/>
  <c r="I1504"/>
  <c r="H1505"/>
  <c r="I1505"/>
  <c r="H1506"/>
  <c r="I1506"/>
  <c r="H1507"/>
  <c r="I1507"/>
  <c r="H1508"/>
  <c r="I1508"/>
  <c r="H1509"/>
  <c r="I1509"/>
  <c r="H1510"/>
  <c r="I1510"/>
  <c r="H1511"/>
  <c r="I1511"/>
  <c r="H1512"/>
  <c r="I1512"/>
  <c r="H1513"/>
  <c r="I1513"/>
  <c r="H1514"/>
  <c r="I1514"/>
  <c r="H1515"/>
  <c r="I1515"/>
  <c r="H1516"/>
  <c r="I1516"/>
  <c r="H1517"/>
  <c r="I1517"/>
  <c r="H1518"/>
  <c r="I1518"/>
  <c r="H1519"/>
  <c r="I1519"/>
  <c r="H1520"/>
  <c r="I1520"/>
  <c r="H1521"/>
  <c r="I1521"/>
  <c r="H1522"/>
  <c r="I1522"/>
  <c r="H1523"/>
  <c r="I1523"/>
  <c r="H1524"/>
  <c r="I1524"/>
  <c r="H1525"/>
  <c r="I1525"/>
  <c r="H1526"/>
  <c r="I1526"/>
  <c r="H1527"/>
  <c r="I1527"/>
  <c r="H1528"/>
  <c r="I1528"/>
  <c r="H1529"/>
  <c r="I1529"/>
  <c r="H1530"/>
  <c r="I1530"/>
  <c r="H1531"/>
  <c r="I1531"/>
  <c r="H1532"/>
  <c r="I1532"/>
  <c r="H1533"/>
  <c r="I1533"/>
  <c r="H1534"/>
  <c r="I1534"/>
  <c r="H1535"/>
  <c r="I1535"/>
  <c r="H1536"/>
  <c r="I1536"/>
  <c r="H1537"/>
  <c r="I1537"/>
  <c r="H1538"/>
  <c r="I1538"/>
  <c r="H1539"/>
  <c r="I1539"/>
  <c r="H1540"/>
  <c r="I1540"/>
  <c r="H1541"/>
  <c r="I1541"/>
  <c r="H1542"/>
  <c r="I1542"/>
  <c r="H1543"/>
  <c r="I1543"/>
  <c r="H1544"/>
  <c r="I1544"/>
  <c r="H1545"/>
  <c r="I1545"/>
  <c r="H1546"/>
  <c r="I1546"/>
  <c r="H1547"/>
  <c r="I1547"/>
  <c r="H1548"/>
  <c r="I1548"/>
  <c r="H1549"/>
  <c r="I1549"/>
  <c r="H1550"/>
  <c r="I1550"/>
  <c r="H1551"/>
  <c r="I1551"/>
  <c r="H1552"/>
  <c r="I1552"/>
  <c r="H1553"/>
  <c r="I1553"/>
  <c r="H1554"/>
  <c r="I1554"/>
  <c r="H1555"/>
  <c r="I1555"/>
  <c r="H1556"/>
  <c r="I1556"/>
  <c r="H1557"/>
  <c r="I1557"/>
  <c r="H1558"/>
  <c r="I1558"/>
  <c r="H1559"/>
  <c r="I1559"/>
  <c r="H1560"/>
  <c r="I1560"/>
  <c r="H1561"/>
  <c r="I1561"/>
  <c r="H1562"/>
  <c r="I1562"/>
  <c r="H1563"/>
  <c r="I1563"/>
  <c r="H1564"/>
  <c r="I1564"/>
  <c r="H1565"/>
  <c r="I1565"/>
  <c r="H1566"/>
  <c r="I1566"/>
  <c r="H1567"/>
  <c r="I1567"/>
  <c r="H1568"/>
  <c r="I1568"/>
  <c r="H1569"/>
  <c r="I1569"/>
  <c r="H1570"/>
  <c r="I1570"/>
  <c r="H1571"/>
  <c r="I1571"/>
  <c r="H1572"/>
  <c r="I1572"/>
  <c r="H1573"/>
  <c r="I1573"/>
  <c r="H1574"/>
  <c r="I1574"/>
  <c r="H1575"/>
  <c r="I1575"/>
  <c r="H1576"/>
  <c r="I1576"/>
  <c r="H1577"/>
  <c r="I1577"/>
  <c r="H1578"/>
  <c r="I1578"/>
  <c r="H1579"/>
  <c r="I1579"/>
  <c r="H1580"/>
  <c r="I1580"/>
  <c r="H1581"/>
  <c r="I1581"/>
  <c r="H1582"/>
  <c r="I1582"/>
  <c r="H1583"/>
  <c r="I1583"/>
  <c r="H1584"/>
  <c r="I1584"/>
  <c r="H1585"/>
  <c r="I1585"/>
  <c r="H1586"/>
  <c r="I1586"/>
  <c r="H1587"/>
  <c r="I1587"/>
  <c r="H1588"/>
  <c r="I1588"/>
  <c r="H1589"/>
  <c r="I1589"/>
  <c r="H1590"/>
  <c r="I1590"/>
  <c r="H1591"/>
  <c r="I1591"/>
  <c r="H1592"/>
  <c r="I1592"/>
  <c r="H1593"/>
  <c r="I1593"/>
  <c r="H1594"/>
  <c r="I1594"/>
  <c r="H1595"/>
  <c r="I1595"/>
  <c r="H1596"/>
  <c r="I1596"/>
  <c r="H1597"/>
  <c r="I1597"/>
  <c r="H1598"/>
  <c r="I1598"/>
  <c r="H1599"/>
  <c r="I1599"/>
  <c r="H1600"/>
  <c r="I1600"/>
  <c r="H1601"/>
  <c r="I1601"/>
  <c r="H1602"/>
  <c r="I1602"/>
  <c r="H1603"/>
  <c r="I1603"/>
  <c r="H1604"/>
  <c r="I1604"/>
  <c r="H1605"/>
  <c r="I1605"/>
  <c r="H1606"/>
  <c r="I1606"/>
  <c r="H1607"/>
  <c r="I1607"/>
  <c r="H1608"/>
  <c r="I1608"/>
  <c r="H1609"/>
  <c r="I1609"/>
  <c r="H1610"/>
  <c r="I1610"/>
  <c r="H1611"/>
  <c r="I1611"/>
  <c r="H1612"/>
  <c r="I1612"/>
  <c r="H1613"/>
  <c r="I1613"/>
  <c r="H1614"/>
  <c r="I1614"/>
  <c r="H1615"/>
  <c r="I1615"/>
  <c r="H1616"/>
  <c r="I1616"/>
  <c r="H1617"/>
  <c r="I1617"/>
  <c r="H1618"/>
  <c r="I1618"/>
  <c r="H1619"/>
  <c r="I1619"/>
  <c r="H1620"/>
  <c r="I1620"/>
  <c r="H1621"/>
  <c r="I1621"/>
  <c r="H1622"/>
  <c r="I1622"/>
  <c r="H1623"/>
  <c r="I1623"/>
  <c r="H1624"/>
  <c r="I1624"/>
  <c r="H1625"/>
  <c r="I1625"/>
  <c r="H1626"/>
  <c r="I1626"/>
  <c r="H1627"/>
  <c r="I1627"/>
  <c r="H1628"/>
  <c r="I1628"/>
  <c r="H1629"/>
  <c r="I1629"/>
  <c r="H1630"/>
  <c r="I1630"/>
  <c r="H1631"/>
  <c r="I1631"/>
  <c r="H1632"/>
  <c r="I1632"/>
  <c r="H1633"/>
  <c r="I1633"/>
  <c r="H1634"/>
  <c r="I1634"/>
  <c r="H1635"/>
  <c r="I1635"/>
  <c r="H1636"/>
  <c r="I1636"/>
  <c r="H1637"/>
  <c r="I1637"/>
  <c r="H1638"/>
  <c r="I1638"/>
  <c r="H1639"/>
  <c r="I1639"/>
  <c r="H1640"/>
  <c r="I1640"/>
  <c r="H1641"/>
  <c r="I1641"/>
  <c r="H1642"/>
  <c r="I1642"/>
  <c r="H1643"/>
  <c r="I1643"/>
  <c r="H1644"/>
  <c r="I1644"/>
  <c r="H1645"/>
  <c r="I1645"/>
  <c r="H1646"/>
  <c r="I1646"/>
  <c r="H1647"/>
  <c r="I1647"/>
  <c r="H1648"/>
  <c r="I1648"/>
  <c r="H1649"/>
  <c r="I1649"/>
  <c r="H1650"/>
  <c r="I1650"/>
  <c r="H1651"/>
  <c r="I1651"/>
  <c r="H1652"/>
  <c r="I1652"/>
  <c r="H1653"/>
  <c r="I1653"/>
  <c r="H1654"/>
  <c r="I1654"/>
  <c r="H1655"/>
  <c r="I1655"/>
  <c r="H1656"/>
  <c r="I1656"/>
  <c r="H1657"/>
  <c r="I1657"/>
  <c r="H1658"/>
  <c r="I1658"/>
  <c r="H1659"/>
  <c r="I1659"/>
  <c r="H1660"/>
  <c r="I1660"/>
  <c r="H1661"/>
  <c r="I1661"/>
  <c r="H1662"/>
  <c r="I1662"/>
  <c r="H1663"/>
  <c r="I1663"/>
  <c r="H1664"/>
  <c r="I1664"/>
  <c r="H1665"/>
  <c r="I1665"/>
  <c r="H1666"/>
  <c r="I1666"/>
  <c r="H1667"/>
  <c r="I1667"/>
  <c r="H1668"/>
  <c r="I1668"/>
  <c r="H1669"/>
  <c r="I1669"/>
  <c r="H1670"/>
  <c r="I1670"/>
  <c r="H1671"/>
  <c r="I1671"/>
  <c r="H1672"/>
  <c r="I1672"/>
  <c r="H1673"/>
  <c r="I1673"/>
  <c r="H1674"/>
  <c r="I1674"/>
  <c r="H1675"/>
  <c r="I1675"/>
  <c r="H1676"/>
  <c r="I1676"/>
  <c r="H1677"/>
  <c r="I1677"/>
  <c r="H1678"/>
  <c r="I1678"/>
  <c r="H1679"/>
  <c r="I1679"/>
  <c r="H1680"/>
  <c r="I1680"/>
  <c r="H1681"/>
  <c r="I1681"/>
  <c r="H1682"/>
  <c r="I1682"/>
  <c r="H1683"/>
  <c r="I1683"/>
  <c r="H1684"/>
  <c r="I1684"/>
  <c r="H1685"/>
  <c r="I1685"/>
  <c r="H1686"/>
  <c r="I1686"/>
  <c r="H1687"/>
  <c r="I1687"/>
  <c r="H1688"/>
  <c r="I1688"/>
  <c r="H1689"/>
  <c r="I1689"/>
  <c r="H1690"/>
  <c r="I1690"/>
  <c r="H1691"/>
  <c r="I1691"/>
  <c r="H1692"/>
  <c r="I1692"/>
  <c r="H1693"/>
  <c r="I1693"/>
  <c r="H1694"/>
  <c r="I1694"/>
  <c r="H1695"/>
  <c r="I1695"/>
  <c r="H1696"/>
  <c r="I1696"/>
  <c r="H1697"/>
  <c r="I1697"/>
  <c r="H1698"/>
  <c r="I1698"/>
  <c r="H1699"/>
  <c r="I1699"/>
  <c r="H1700"/>
  <c r="I1700"/>
  <c r="H1701"/>
  <c r="I1701"/>
  <c r="H1702"/>
  <c r="I1702"/>
  <c r="H1703"/>
  <c r="I1703"/>
  <c r="H1704"/>
  <c r="I1704"/>
  <c r="H1705"/>
  <c r="I1705"/>
  <c r="H1706"/>
  <c r="I1706"/>
  <c r="H1707"/>
  <c r="I1707"/>
  <c r="H1708"/>
  <c r="I1708"/>
  <c r="H1709"/>
  <c r="I1709"/>
  <c r="H1710"/>
  <c r="I1710"/>
  <c r="H1711"/>
  <c r="I1711"/>
  <c r="H1712"/>
  <c r="I1712"/>
  <c r="H1713"/>
  <c r="I1713"/>
  <c r="H1714"/>
  <c r="I1714"/>
  <c r="H1715"/>
  <c r="I1715"/>
  <c r="H1716"/>
  <c r="I1716"/>
  <c r="H1717"/>
  <c r="I1717"/>
  <c r="H1718"/>
  <c r="I1718"/>
  <c r="H1719"/>
  <c r="I1719"/>
  <c r="H1720"/>
  <c r="I1720"/>
  <c r="H1721"/>
  <c r="I1721"/>
  <c r="H1722"/>
  <c r="I1722"/>
  <c r="H1723"/>
  <c r="I1723"/>
  <c r="H1724"/>
  <c r="I1724"/>
  <c r="H1725"/>
  <c r="I1725"/>
  <c r="H1726"/>
  <c r="I1726"/>
  <c r="H1727"/>
  <c r="I1727"/>
  <c r="H1728"/>
  <c r="I1728"/>
  <c r="H1729"/>
  <c r="I1729"/>
  <c r="H1730"/>
  <c r="I1730"/>
  <c r="H1731"/>
  <c r="I1731"/>
  <c r="H1732"/>
  <c r="I1732"/>
  <c r="H1733"/>
  <c r="I1733"/>
  <c r="H1734"/>
  <c r="I1734"/>
  <c r="H1735"/>
  <c r="I1735"/>
  <c r="H1736"/>
  <c r="I1736"/>
  <c r="H1737"/>
  <c r="I1737"/>
  <c r="H1738"/>
  <c r="I1738"/>
  <c r="H1739"/>
  <c r="I1739"/>
  <c r="H1740"/>
  <c r="I1740"/>
  <c r="H1741"/>
  <c r="I1741"/>
  <c r="H1742"/>
  <c r="I1742"/>
  <c r="H1743"/>
  <c r="I1743"/>
  <c r="H1744"/>
  <c r="I1744"/>
  <c r="H1745"/>
  <c r="I1745"/>
  <c r="H1746"/>
  <c r="I1746"/>
  <c r="H1747"/>
  <c r="I1747"/>
  <c r="H1748"/>
  <c r="I1748"/>
  <c r="H1749"/>
  <c r="I1749"/>
  <c r="H1750"/>
  <c r="I1750"/>
  <c r="H1751"/>
  <c r="I1751"/>
  <c r="H1752"/>
  <c r="I1752"/>
  <c r="H1753"/>
  <c r="I1753"/>
  <c r="H1754"/>
  <c r="I1754"/>
  <c r="H1755"/>
  <c r="I1755"/>
  <c r="H1756"/>
  <c r="I1756"/>
  <c r="H1757"/>
  <c r="I1757"/>
  <c r="H1758"/>
  <c r="I1758"/>
  <c r="H1759"/>
  <c r="I1759"/>
  <c r="H1760"/>
  <c r="I1760"/>
  <c r="H1761"/>
  <c r="I1761"/>
  <c r="H1762"/>
  <c r="I1762"/>
  <c r="H1763"/>
  <c r="I1763"/>
  <c r="H1764"/>
  <c r="I1764"/>
  <c r="H1765"/>
  <c r="I1765"/>
  <c r="H1766"/>
  <c r="I1766"/>
  <c r="H1767"/>
  <c r="I1767"/>
  <c r="H1768"/>
  <c r="I1768"/>
  <c r="H1769"/>
  <c r="I1769"/>
  <c r="H1770"/>
  <c r="I1770"/>
  <c r="H1771"/>
  <c r="I1771"/>
  <c r="H1772"/>
  <c r="I1772"/>
  <c r="H1773"/>
  <c r="I1773"/>
  <c r="H1774"/>
  <c r="I1774"/>
  <c r="H1775"/>
  <c r="I1775"/>
  <c r="H1776"/>
  <c r="I1776"/>
  <c r="H1777"/>
  <c r="I1777"/>
  <c r="H1778"/>
  <c r="I1778"/>
  <c r="H1779"/>
  <c r="I1779"/>
  <c r="H1780"/>
  <c r="I1780"/>
  <c r="H1781"/>
  <c r="I1781"/>
  <c r="H1782"/>
  <c r="I1782"/>
  <c r="H1783"/>
  <c r="I1783"/>
  <c r="H1784"/>
  <c r="I1784"/>
  <c r="H1785"/>
  <c r="I1785"/>
  <c r="H1786"/>
  <c r="I1786"/>
  <c r="H1787"/>
  <c r="I1787"/>
  <c r="H1788"/>
  <c r="I1788"/>
  <c r="H1789"/>
  <c r="I1789"/>
  <c r="H1790"/>
  <c r="I1790"/>
  <c r="H1791"/>
  <c r="I1791"/>
  <c r="H1792"/>
  <c r="I1792"/>
  <c r="H1793"/>
  <c r="I1793"/>
  <c r="H1794"/>
  <c r="I1794"/>
  <c r="H1795"/>
  <c r="I1795"/>
  <c r="H1796"/>
  <c r="I1796"/>
  <c r="H1797"/>
  <c r="I1797"/>
  <c r="H1798"/>
  <c r="I1798"/>
  <c r="H1799"/>
  <c r="I1799"/>
  <c r="H1800"/>
  <c r="I1800"/>
  <c r="H1801"/>
  <c r="I1801"/>
  <c r="H1802"/>
  <c r="I1802"/>
  <c r="H1803"/>
  <c r="I1803"/>
  <c r="H1804"/>
  <c r="I1804"/>
  <c r="H1805"/>
  <c r="I1805"/>
  <c r="H1806"/>
  <c r="I1806"/>
  <c r="H1807"/>
  <c r="I1807"/>
  <c r="H1808"/>
  <c r="I1808"/>
  <c r="H1809"/>
  <c r="I1809"/>
  <c r="H1810"/>
  <c r="I1810"/>
  <c r="H1811"/>
  <c r="I1811"/>
  <c r="H1812"/>
  <c r="I1812"/>
  <c r="H1813"/>
  <c r="I1813"/>
  <c r="H1814"/>
  <c r="I1814"/>
  <c r="H1815"/>
  <c r="I1815"/>
  <c r="H1816"/>
  <c r="I1816"/>
  <c r="H1817"/>
  <c r="I1817"/>
  <c r="H1818"/>
  <c r="I1818"/>
  <c r="H1819"/>
  <c r="I1819"/>
  <c r="H1820"/>
  <c r="I1820"/>
  <c r="H1821"/>
  <c r="I1821"/>
  <c r="H1822"/>
  <c r="I1822"/>
  <c r="H1823"/>
  <c r="I1823"/>
  <c r="H1824"/>
  <c r="I1824"/>
  <c r="H1825"/>
  <c r="I1825"/>
  <c r="H1826"/>
  <c r="I1826"/>
  <c r="H1827"/>
  <c r="I1827"/>
  <c r="H1828"/>
  <c r="I1828"/>
  <c r="H1829"/>
  <c r="I1829"/>
  <c r="H1830"/>
  <c r="I1830"/>
  <c r="H1831"/>
  <c r="I1831"/>
  <c r="H1832"/>
  <c r="I1832"/>
  <c r="H1833"/>
  <c r="I1833"/>
  <c r="H1834"/>
  <c r="I1834"/>
  <c r="H1835"/>
  <c r="I1835"/>
  <c r="H1836"/>
  <c r="I1836"/>
  <c r="H1837"/>
  <c r="I1837"/>
  <c r="H1838"/>
  <c r="I1838"/>
  <c r="H1839"/>
  <c r="I1839"/>
  <c r="H1840"/>
  <c r="I1840"/>
  <c r="H1841"/>
  <c r="I1841"/>
  <c r="H1842"/>
  <c r="I1842"/>
  <c r="H1843"/>
  <c r="I1843"/>
  <c r="H1844"/>
  <c r="I1844"/>
  <c r="H1845"/>
  <c r="I1845"/>
  <c r="H1846"/>
  <c r="I1846"/>
  <c r="H1847"/>
  <c r="I1847"/>
  <c r="H1848"/>
  <c r="I1848"/>
  <c r="H1849"/>
  <c r="I1849"/>
  <c r="H1850"/>
  <c r="I1850"/>
  <c r="H1851"/>
  <c r="I1851"/>
  <c r="H1852"/>
  <c r="I1852"/>
  <c r="H1853"/>
  <c r="I1853"/>
  <c r="H1854"/>
  <c r="I1854"/>
  <c r="H1855"/>
  <c r="I1855"/>
  <c r="H1856"/>
  <c r="I1856"/>
  <c r="H1857"/>
  <c r="I1857"/>
  <c r="H1858"/>
  <c r="I1858"/>
  <c r="H1859"/>
  <c r="I1859"/>
  <c r="H1860"/>
  <c r="I1860"/>
  <c r="H1861"/>
  <c r="I1861"/>
  <c r="H1862"/>
  <c r="I1862"/>
  <c r="H1863"/>
  <c r="I1863"/>
  <c r="H1864"/>
  <c r="I1864"/>
  <c r="H1865"/>
  <c r="I1865"/>
  <c r="H1866"/>
  <c r="I1866"/>
  <c r="H1867"/>
  <c r="I1867"/>
  <c r="H1868"/>
  <c r="I1868"/>
  <c r="H1869"/>
  <c r="I1869"/>
  <c r="H1870"/>
  <c r="I1870"/>
  <c r="H1871"/>
  <c r="I1871"/>
  <c r="H1872"/>
  <c r="I1872"/>
  <c r="H1873"/>
  <c r="I1873"/>
  <c r="H1874"/>
  <c r="I1874"/>
  <c r="H1875"/>
  <c r="I1875"/>
  <c r="H1876"/>
  <c r="I1876"/>
  <c r="H1877"/>
  <c r="I1877"/>
  <c r="H1878"/>
  <c r="I1878"/>
  <c r="H1879"/>
  <c r="I1879"/>
  <c r="H1880"/>
  <c r="I1880"/>
  <c r="H1881"/>
  <c r="I1881"/>
  <c r="H1882"/>
  <c r="I1882"/>
  <c r="H1883"/>
  <c r="I1883"/>
  <c r="H1884"/>
  <c r="I1884"/>
  <c r="H1885"/>
  <c r="I1885"/>
  <c r="H1886"/>
  <c r="I1886"/>
  <c r="H1887"/>
  <c r="I1887"/>
  <c r="H1888"/>
  <c r="I1888"/>
  <c r="H1889"/>
  <c r="I1889"/>
  <c r="H1890"/>
  <c r="I1890"/>
  <c r="H1891"/>
  <c r="I1891"/>
  <c r="H1892"/>
  <c r="I1892"/>
  <c r="H1893"/>
  <c r="I1893"/>
  <c r="H1894"/>
  <c r="I1894"/>
  <c r="H1895"/>
  <c r="I1895"/>
  <c r="H1896"/>
  <c r="I1896"/>
  <c r="H1897"/>
  <c r="I1897"/>
  <c r="H1898"/>
  <c r="I1898"/>
  <c r="H1899"/>
  <c r="I1899"/>
  <c r="H1900"/>
  <c r="I1900"/>
  <c r="H1901"/>
  <c r="I1901"/>
  <c r="H1902"/>
  <c r="I1902"/>
  <c r="H1903"/>
  <c r="I1903"/>
  <c r="H1904"/>
  <c r="I1904"/>
  <c r="H1905"/>
  <c r="I1905"/>
  <c r="H1906"/>
  <c r="I1906"/>
  <c r="H1907"/>
  <c r="I1907"/>
  <c r="H1908"/>
  <c r="I1908"/>
  <c r="H1909"/>
  <c r="I1909"/>
  <c r="H1910"/>
  <c r="I1910"/>
  <c r="H1911"/>
  <c r="I1911"/>
  <c r="H1912"/>
  <c r="I1912"/>
  <c r="H1913"/>
  <c r="I1913"/>
  <c r="H1914"/>
  <c r="I1914"/>
  <c r="H1915"/>
  <c r="I1915"/>
  <c r="H1916"/>
  <c r="I1916"/>
  <c r="H1917"/>
  <c r="I1917"/>
  <c r="H1918"/>
  <c r="I1918"/>
  <c r="H1919"/>
  <c r="I1919"/>
  <c r="H1920"/>
  <c r="I1920"/>
  <c r="H1921"/>
  <c r="I1921"/>
  <c r="H1922"/>
  <c r="I1922"/>
  <c r="H1923"/>
  <c r="I1923"/>
  <c r="H1924"/>
  <c r="I1924"/>
  <c r="H1925"/>
  <c r="I1925"/>
  <c r="H1926"/>
  <c r="I1926"/>
  <c r="H1927"/>
  <c r="I1927"/>
  <c r="H1928"/>
  <c r="I1928"/>
  <c r="H1929"/>
  <c r="I1929"/>
  <c r="H1930"/>
  <c r="I1930"/>
  <c r="H1931"/>
  <c r="I1931"/>
  <c r="H1932"/>
  <c r="I1932"/>
  <c r="H1933"/>
  <c r="I1933"/>
  <c r="H1934"/>
  <c r="I1934"/>
  <c r="H1935"/>
  <c r="I1935"/>
  <c r="H1936"/>
  <c r="I1936"/>
  <c r="H1937"/>
  <c r="I1937"/>
  <c r="H1938"/>
  <c r="I1938"/>
  <c r="H1939"/>
  <c r="I1939"/>
  <c r="H1940"/>
  <c r="I1940"/>
  <c r="H1941"/>
  <c r="I1941"/>
  <c r="H1942"/>
  <c r="I1942"/>
  <c r="H1943"/>
  <c r="I1943"/>
  <c r="H1944"/>
  <c r="I1944"/>
  <c r="H1945"/>
  <c r="I1945"/>
  <c r="H1946"/>
  <c r="I1946"/>
  <c r="H1947"/>
  <c r="I1947"/>
  <c r="H1948"/>
  <c r="I1948"/>
  <c r="H1949"/>
  <c r="I1949"/>
  <c r="H1950"/>
  <c r="I1950"/>
  <c r="H1951"/>
  <c r="I1951"/>
  <c r="H1952"/>
  <c r="I1952"/>
  <c r="H1953"/>
  <c r="I1953"/>
  <c r="H1954"/>
  <c r="I1954"/>
  <c r="H1955"/>
  <c r="I1955"/>
  <c r="H1956"/>
  <c r="I1956"/>
  <c r="H1957"/>
  <c r="I1957"/>
  <c r="H1958"/>
  <c r="I1958"/>
  <c r="H1959"/>
  <c r="I1959"/>
  <c r="H1960"/>
  <c r="I1960"/>
  <c r="H1961"/>
  <c r="I1961"/>
  <c r="H1962"/>
  <c r="I1962"/>
  <c r="H1963"/>
  <c r="I1963"/>
  <c r="H1964"/>
  <c r="I1964"/>
  <c r="H1965"/>
  <c r="I1965"/>
  <c r="H1966"/>
  <c r="I1966"/>
  <c r="H1967"/>
  <c r="I1967"/>
  <c r="H1968"/>
  <c r="I1968"/>
  <c r="H1969"/>
  <c r="I1969"/>
  <c r="H1970"/>
  <c r="I1970"/>
  <c r="H1971"/>
  <c r="I1971"/>
  <c r="H1972"/>
  <c r="I1972"/>
  <c r="H1973"/>
  <c r="I1973"/>
  <c r="H1974"/>
  <c r="I1974"/>
  <c r="H1975"/>
  <c r="I1975"/>
  <c r="H1976"/>
  <c r="I1976"/>
  <c r="H1977"/>
  <c r="I1977"/>
  <c r="H1978"/>
  <c r="I1978"/>
  <c r="H1979"/>
  <c r="I1979"/>
  <c r="H1980"/>
  <c r="I1980"/>
  <c r="H1981"/>
  <c r="I1981"/>
  <c r="H1982"/>
  <c r="I1982"/>
  <c r="H1983"/>
  <c r="I1983"/>
  <c r="H1984"/>
  <c r="I1984"/>
  <c r="H1985"/>
  <c r="I1985"/>
  <c r="H1986"/>
  <c r="I1986"/>
  <c r="H1987"/>
  <c r="I1987"/>
  <c r="H1988"/>
  <c r="I1988"/>
  <c r="H1989"/>
  <c r="I1989"/>
  <c r="H1990"/>
  <c r="I1990"/>
  <c r="H1991"/>
  <c r="I1991"/>
  <c r="H1992"/>
  <c r="I1992"/>
  <c r="H1993"/>
  <c r="I1993"/>
  <c r="H1994"/>
  <c r="I1994"/>
  <c r="H1995"/>
  <c r="I1995"/>
  <c r="H1996"/>
  <c r="I1996"/>
  <c r="H1997"/>
  <c r="I1997"/>
  <c r="H1998"/>
  <c r="I1998"/>
  <c r="H1999"/>
  <c r="I1999"/>
  <c r="H2000"/>
  <c r="I2000"/>
  <c r="A103" i="25"/>
  <c r="B3" i="27"/>
  <c r="B103" s="1"/>
  <c r="J92"/>
  <c r="J31"/>
  <c r="J32"/>
  <c r="J33"/>
  <c r="J34"/>
  <c r="J35"/>
  <c r="I66"/>
  <c r="I67"/>
  <c r="I68"/>
  <c r="I69"/>
  <c r="I70"/>
  <c r="I71"/>
  <c r="I72"/>
  <c r="I73"/>
  <c r="I74"/>
  <c r="I75"/>
  <c r="I76"/>
  <c r="I77"/>
  <c r="I78"/>
  <c r="I79"/>
  <c r="I80"/>
  <c r="I81"/>
  <c r="I82"/>
  <c r="I83"/>
  <c r="I84"/>
  <c r="I85"/>
  <c r="I55"/>
  <c r="I56"/>
  <c r="I57"/>
  <c r="I58"/>
  <c r="I59"/>
  <c r="I60"/>
  <c r="I61"/>
  <c r="I62"/>
  <c r="I63"/>
  <c r="K64"/>
  <c r="G54"/>
  <c r="I37"/>
  <c r="I38"/>
  <c r="I39"/>
  <c r="I40"/>
  <c r="I41"/>
  <c r="I42"/>
  <c r="I43"/>
  <c r="I45"/>
  <c r="I46"/>
  <c r="I47"/>
  <c r="I48"/>
  <c r="I49"/>
  <c r="I50"/>
  <c r="I51"/>
  <c r="I52"/>
  <c r="I25"/>
  <c r="I26"/>
  <c r="I28"/>
  <c r="I29"/>
  <c r="I18"/>
  <c r="I19"/>
  <c r="I20"/>
  <c r="I21"/>
  <c r="I22"/>
  <c r="I23"/>
  <c r="I12"/>
  <c r="I13"/>
  <c r="I14"/>
  <c r="I15"/>
  <c r="I16"/>
  <c r="I5"/>
  <c r="I6"/>
  <c r="I7"/>
  <c r="I8"/>
  <c r="I9"/>
  <c r="I10"/>
  <c r="I4"/>
  <c r="G11"/>
  <c r="G17"/>
  <c r="G24"/>
  <c r="G27"/>
  <c r="G30"/>
  <c r="G31"/>
  <c r="G32"/>
  <c r="G33"/>
  <c r="G34"/>
  <c r="G35"/>
  <c r="G36"/>
  <c r="G44"/>
  <c r="G65"/>
  <c r="G86"/>
  <c r="G92"/>
  <c r="H11"/>
  <c r="H17"/>
  <c r="B113" s="1"/>
  <c r="H24"/>
  <c r="H27"/>
  <c r="H30"/>
  <c r="H31"/>
  <c r="H32"/>
  <c r="H33"/>
  <c r="H34"/>
  <c r="H35"/>
  <c r="H36"/>
  <c r="B114" s="1"/>
  <c r="H44"/>
  <c r="B115" s="1"/>
  <c r="H54"/>
  <c r="B116" s="1"/>
  <c r="H65"/>
  <c r="B117" s="1"/>
  <c r="H86"/>
  <c r="B118" s="1"/>
  <c r="H92"/>
  <c r="H95"/>
  <c r="I3"/>
  <c r="G3"/>
  <c r="H3"/>
  <c r="B112" s="1"/>
  <c r="D22"/>
  <c r="D24"/>
  <c r="D26"/>
  <c r="D28"/>
  <c r="D30"/>
  <c r="D32"/>
  <c r="D34"/>
  <c r="D36"/>
  <c r="D38"/>
  <c r="D40"/>
  <c r="D42"/>
  <c r="D20"/>
  <c r="D5"/>
  <c r="D7"/>
  <c r="D9"/>
  <c r="D11"/>
  <c r="D13"/>
  <c r="D15"/>
  <c r="C20"/>
  <c r="C22"/>
  <c r="C24"/>
  <c r="C26"/>
  <c r="C28"/>
  <c r="C30"/>
  <c r="C32"/>
  <c r="C34"/>
  <c r="C36"/>
  <c r="C38"/>
  <c r="C40"/>
  <c r="C42"/>
  <c r="C13"/>
  <c r="F13" s="1"/>
  <c r="C15"/>
  <c r="F15" s="1"/>
  <c r="C5"/>
  <c r="F5" s="1"/>
  <c r="C7"/>
  <c r="F7" s="1"/>
  <c r="C9"/>
  <c r="F9" s="1"/>
  <c r="C11"/>
  <c r="E11" s="1"/>
  <c r="A18"/>
  <c r="B104" s="1"/>
  <c r="A45"/>
  <c r="B105" s="1"/>
  <c r="A53"/>
  <c r="B106" s="1"/>
  <c r="A60"/>
  <c r="B107" s="1"/>
  <c r="A79"/>
  <c r="B108" s="1"/>
  <c r="A85"/>
  <c r="B109" s="1"/>
  <c r="B95"/>
  <c r="F94"/>
  <c r="I31"/>
  <c r="I32"/>
  <c r="K32" s="1"/>
  <c r="I33"/>
  <c r="I34"/>
  <c r="K34" s="1"/>
  <c r="I35"/>
  <c r="K53"/>
  <c r="I87"/>
  <c r="I88"/>
  <c r="I89"/>
  <c r="I90"/>
  <c r="I91"/>
  <c r="K92"/>
  <c r="I93"/>
  <c r="I94"/>
  <c r="F11"/>
  <c r="E94"/>
  <c r="E7"/>
  <c r="E15"/>
  <c r="E5" l="1"/>
  <c r="I27"/>
  <c r="I24"/>
  <c r="I17"/>
  <c r="C113" s="1"/>
  <c r="I54"/>
  <c r="C116" s="1"/>
  <c r="I44"/>
  <c r="C115" s="1"/>
  <c r="I65"/>
  <c r="C117" s="1"/>
  <c r="E13"/>
  <c r="E9"/>
  <c r="I86"/>
  <c r="C118" s="1"/>
  <c r="I11"/>
  <c r="I36"/>
  <c r="C114" s="1"/>
  <c r="K35"/>
  <c r="K33"/>
  <c r="K31"/>
  <c r="L92"/>
  <c r="L64"/>
  <c r="L53"/>
  <c r="L35"/>
  <c r="L34"/>
  <c r="L33"/>
  <c r="L32"/>
  <c r="L31"/>
  <c r="I95" l="1"/>
  <c r="C112"/>
  <c r="C119" s="1"/>
  <c r="H91" i="25"/>
  <c r="H70"/>
  <c r="H59"/>
  <c r="H100" s="1"/>
  <c r="H101" s="1"/>
  <c r="H47"/>
  <c r="H39"/>
  <c r="H57" s="1"/>
  <c r="H30"/>
  <c r="H27"/>
  <c r="H20"/>
  <c r="H14"/>
  <c r="H33" s="1"/>
  <c r="H6"/>
  <c r="D642"/>
  <c r="F642"/>
  <c r="E642"/>
  <c r="D194"/>
  <c r="F2" i="2"/>
  <c r="E2"/>
  <c r="C89" i="26"/>
  <c r="A72"/>
  <c r="A71"/>
  <c r="H47" i="3"/>
  <c r="H39"/>
  <c r="H30"/>
  <c r="H27"/>
  <c r="H20"/>
  <c r="H14"/>
  <c r="H6"/>
  <c r="H33" s="1"/>
  <c r="G98" i="25"/>
  <c r="G99"/>
  <c r="F99"/>
  <c r="F98"/>
  <c r="A8"/>
  <c r="B5" i="4"/>
  <c r="B6"/>
  <c r="B7"/>
  <c r="B8"/>
  <c r="B9"/>
  <c r="B10"/>
  <c r="B11"/>
  <c r="B12"/>
  <c r="B13"/>
  <c r="B14"/>
  <c r="B15"/>
  <c r="B16"/>
  <c r="B17"/>
  <c r="B18"/>
  <c r="A19"/>
  <c r="A18"/>
  <c r="A17"/>
  <c r="A16"/>
  <c r="A15"/>
  <c r="A14"/>
  <c r="A13"/>
  <c r="A12"/>
  <c r="A11"/>
  <c r="A10"/>
  <c r="A9"/>
  <c r="A8"/>
  <c r="A7"/>
  <c r="A6"/>
  <c r="A20"/>
  <c r="A21"/>
  <c r="A22"/>
  <c r="A23"/>
  <c r="A24"/>
  <c r="B19"/>
  <c r="B20"/>
  <c r="B21"/>
  <c r="B22"/>
  <c r="B23"/>
  <c r="B24"/>
  <c r="C91" i="3"/>
  <c r="H91"/>
  <c r="G98"/>
  <c r="H93" i="27" s="1"/>
  <c r="G99" i="3"/>
  <c r="H94" i="27" s="1"/>
  <c r="F99" i="3"/>
  <c r="G94" i="27" s="1"/>
  <c r="F98" i="3"/>
  <c r="G93" i="27" s="1"/>
  <c r="F93" i="3"/>
  <c r="G88" i="27" s="1"/>
  <c r="G93" i="3"/>
  <c r="H88" i="27" s="1"/>
  <c r="F94" i="3"/>
  <c r="G89" i="27" s="1"/>
  <c r="G94" i="3"/>
  <c r="H89" i="27" s="1"/>
  <c r="F95" i="3"/>
  <c r="G90" i="27" s="1"/>
  <c r="G95" i="3"/>
  <c r="H90" i="27" s="1"/>
  <c r="F96" i="3"/>
  <c r="G91" i="27" s="1"/>
  <c r="G96" i="3"/>
  <c r="H91" i="27" s="1"/>
  <c r="G92" i="3"/>
  <c r="H87" i="27" s="1"/>
  <c r="F92" i="3"/>
  <c r="G87" i="27" s="1"/>
  <c r="G71" i="3"/>
  <c r="H66" i="27" s="1"/>
  <c r="G72" i="3"/>
  <c r="H67" i="27" s="1"/>
  <c r="G73" i="3"/>
  <c r="H68" i="27" s="1"/>
  <c r="G74" i="3"/>
  <c r="H69" i="27" s="1"/>
  <c r="G75" i="3"/>
  <c r="H70" i="27" s="1"/>
  <c r="G76" i="3"/>
  <c r="H71" i="27" s="1"/>
  <c r="G77" i="3"/>
  <c r="H72" i="27" s="1"/>
  <c r="G78" i="3"/>
  <c r="H73" i="27" s="1"/>
  <c r="G79" i="3"/>
  <c r="H74" i="27" s="1"/>
  <c r="G80" i="3"/>
  <c r="H75" i="27" s="1"/>
  <c r="G81" i="3"/>
  <c r="H76" i="27" s="1"/>
  <c r="G82" i="3"/>
  <c r="H77" i="27" s="1"/>
  <c r="G83" i="3"/>
  <c r="H78" i="27" s="1"/>
  <c r="G84" i="3"/>
  <c r="H79" i="27" s="1"/>
  <c r="G85" i="3"/>
  <c r="H80" i="27" s="1"/>
  <c r="G86" i="3"/>
  <c r="H81" i="27" s="1"/>
  <c r="G87" i="3"/>
  <c r="H82" i="27" s="1"/>
  <c r="G88" i="3"/>
  <c r="H83" i="27" s="1"/>
  <c r="G89" i="3"/>
  <c r="H84" i="27" s="1"/>
  <c r="G90" i="3"/>
  <c r="H85" i="27" s="1"/>
  <c r="F72" i="3"/>
  <c r="G67" i="27" s="1"/>
  <c r="F73" i="3"/>
  <c r="G68" i="27" s="1"/>
  <c r="F74" i="3"/>
  <c r="G69" i="27" s="1"/>
  <c r="F75" i="3"/>
  <c r="G70" i="27" s="1"/>
  <c r="F76" i="3"/>
  <c r="G71" i="27" s="1"/>
  <c r="F77" i="3"/>
  <c r="G72" i="27" s="1"/>
  <c r="F78" i="3"/>
  <c r="G73" i="27" s="1"/>
  <c r="F79" i="3"/>
  <c r="G74" i="27" s="1"/>
  <c r="F80" i="3"/>
  <c r="G75" i="27" s="1"/>
  <c r="F81" i="3"/>
  <c r="G76" i="27" s="1"/>
  <c r="F82" i="3"/>
  <c r="G77" i="27" s="1"/>
  <c r="F83" i="3"/>
  <c r="G78" i="27" s="1"/>
  <c r="F84" i="3"/>
  <c r="G79" i="27" s="1"/>
  <c r="F85" i="3"/>
  <c r="G80" i="27" s="1"/>
  <c r="F86" i="3"/>
  <c r="G81" i="27" s="1"/>
  <c r="F87" i="3"/>
  <c r="G82" i="27" s="1"/>
  <c r="F88" i="3"/>
  <c r="G83" i="27" s="1"/>
  <c r="F89" i="3"/>
  <c r="G84" i="27" s="1"/>
  <c r="F90" i="3"/>
  <c r="G85" i="27" s="1"/>
  <c r="F71" i="3"/>
  <c r="G66" i="27" s="1"/>
  <c r="F61" i="3"/>
  <c r="G56" i="27" s="1"/>
  <c r="G61" i="3"/>
  <c r="H56" i="27" s="1"/>
  <c r="F62" i="3"/>
  <c r="G57" i="27" s="1"/>
  <c r="G62" i="3"/>
  <c r="H57" i="27" s="1"/>
  <c r="F63" i="3"/>
  <c r="G58" i="27" s="1"/>
  <c r="G63" i="3"/>
  <c r="H58" i="27" s="1"/>
  <c r="F64" i="3"/>
  <c r="G59" i="27" s="1"/>
  <c r="G64" i="3"/>
  <c r="H59" i="27" s="1"/>
  <c r="F65" i="3"/>
  <c r="G60" i="27" s="1"/>
  <c r="G65" i="3"/>
  <c r="H60" i="27" s="1"/>
  <c r="F66" i="3"/>
  <c r="G61" i="27" s="1"/>
  <c r="G66" i="3"/>
  <c r="H61" i="27" s="1"/>
  <c r="F67" i="3"/>
  <c r="G62" i="27" s="1"/>
  <c r="G67" i="3"/>
  <c r="H62" i="27" s="1"/>
  <c r="F68" i="3"/>
  <c r="G63" i="27" s="1"/>
  <c r="G68" i="3"/>
  <c r="H63" i="27" s="1"/>
  <c r="G60" i="3"/>
  <c r="H55" i="27" s="1"/>
  <c r="F60" i="3"/>
  <c r="G55" i="27" s="1"/>
  <c r="F49" i="3"/>
  <c r="G46" i="27" s="1"/>
  <c r="G49" i="3"/>
  <c r="H46" i="27" s="1"/>
  <c r="F50" i="3"/>
  <c r="G47" i="27" s="1"/>
  <c r="G50" i="3"/>
  <c r="H47" i="27" s="1"/>
  <c r="F51" i="3"/>
  <c r="G48" i="27" s="1"/>
  <c r="G51" i="3"/>
  <c r="H48" i="27" s="1"/>
  <c r="F52" i="3"/>
  <c r="G49" i="27" s="1"/>
  <c r="G52" i="3"/>
  <c r="H49" i="27" s="1"/>
  <c r="F53" i="3"/>
  <c r="G50" i="27" s="1"/>
  <c r="G53" i="3"/>
  <c r="H50" i="27" s="1"/>
  <c r="F54" i="3"/>
  <c r="G51" i="27" s="1"/>
  <c r="G54" i="3"/>
  <c r="H51" i="27" s="1"/>
  <c r="F55" i="3"/>
  <c r="G52" i="27" s="1"/>
  <c r="G55" i="3"/>
  <c r="H52" i="27" s="1"/>
  <c r="G48" i="3"/>
  <c r="H45" i="27" s="1"/>
  <c r="F48" i="3"/>
  <c r="G45" i="27" s="1"/>
  <c r="F41" i="3"/>
  <c r="G38" i="27" s="1"/>
  <c r="G41" i="3"/>
  <c r="H38" i="27" s="1"/>
  <c r="F42" i="3"/>
  <c r="G39" i="27" s="1"/>
  <c r="G42" i="3"/>
  <c r="H39" i="27" s="1"/>
  <c r="F43" i="3"/>
  <c r="G40" i="27" s="1"/>
  <c r="G43" i="3"/>
  <c r="H40" i="27" s="1"/>
  <c r="F44" i="3"/>
  <c r="G41" i="27" s="1"/>
  <c r="G44" i="3"/>
  <c r="H41" i="27" s="1"/>
  <c r="F45" i="3"/>
  <c r="G42" i="27" s="1"/>
  <c r="G45" i="3"/>
  <c r="H42" i="27" s="1"/>
  <c r="F46" i="3"/>
  <c r="G43" i="27" s="1"/>
  <c r="G46" i="3"/>
  <c r="H43" i="27" s="1"/>
  <c r="G40" i="3"/>
  <c r="H37" i="27" s="1"/>
  <c r="F40" i="3"/>
  <c r="G37" i="27" s="1"/>
  <c r="F32" i="3"/>
  <c r="G29" i="27" s="1"/>
  <c r="G32" i="3"/>
  <c r="H29" i="27" s="1"/>
  <c r="G31" i="3"/>
  <c r="H28" i="27" s="1"/>
  <c r="F31" i="3"/>
  <c r="G28" i="27" s="1"/>
  <c r="G28" i="3"/>
  <c r="H25" i="27" s="1"/>
  <c r="G29" i="3"/>
  <c r="H26" i="27" s="1"/>
  <c r="F29" i="3"/>
  <c r="G26" i="27" s="1"/>
  <c r="F28" i="3"/>
  <c r="G25" i="27" s="1"/>
  <c r="G21" i="3"/>
  <c r="H18" i="27" s="1"/>
  <c r="G22" i="3"/>
  <c r="H19" i="27" s="1"/>
  <c r="G23" i="3"/>
  <c r="H20" i="27" s="1"/>
  <c r="G24" i="3"/>
  <c r="H21" i="27" s="1"/>
  <c r="G25" i="3"/>
  <c r="H22" i="27" s="1"/>
  <c r="G26" i="3"/>
  <c r="H23" i="27" s="1"/>
  <c r="F22" i="3"/>
  <c r="G19" i="27" s="1"/>
  <c r="F23" i="3"/>
  <c r="G20" i="27" s="1"/>
  <c r="F24" i="3"/>
  <c r="G21" i="27" s="1"/>
  <c r="F25" i="3"/>
  <c r="G22" i="27" s="1"/>
  <c r="F26" i="3"/>
  <c r="G23" i="27" s="1"/>
  <c r="F21" i="3"/>
  <c r="G18" i="27" s="1"/>
  <c r="G15" i="3"/>
  <c r="H12" i="27" s="1"/>
  <c r="G16" i="3"/>
  <c r="H13" i="27" s="1"/>
  <c r="G17" i="3"/>
  <c r="H14" i="27" s="1"/>
  <c r="G18" i="3"/>
  <c r="H15" i="27" s="1"/>
  <c r="G19" i="3"/>
  <c r="H16" i="27" s="1"/>
  <c r="F16" i="3"/>
  <c r="G13" i="27" s="1"/>
  <c r="F17" i="3"/>
  <c r="G14" i="27" s="1"/>
  <c r="F18" i="3"/>
  <c r="G15" i="27" s="1"/>
  <c r="F19" i="3"/>
  <c r="G16" i="27" s="1"/>
  <c r="F15" i="3"/>
  <c r="G12" i="27" s="1"/>
  <c r="G7" i="3"/>
  <c r="H4" i="27" s="1"/>
  <c r="G8" i="3"/>
  <c r="H5" i="27" s="1"/>
  <c r="G9" i="3"/>
  <c r="H6" i="27" s="1"/>
  <c r="G10" i="3"/>
  <c r="H7" i="27" s="1"/>
  <c r="G11" i="3"/>
  <c r="H8" i="27" s="1"/>
  <c r="G12" i="3"/>
  <c r="H9" i="27" s="1"/>
  <c r="G13" i="3"/>
  <c r="H10" i="27" s="1"/>
  <c r="F8" i="3"/>
  <c r="G5" i="27" s="1"/>
  <c r="F9" i="3"/>
  <c r="G6" i="27" s="1"/>
  <c r="F10" i="3"/>
  <c r="G7" i="27" s="1"/>
  <c r="F11" i="3"/>
  <c r="G8" i="27" s="1"/>
  <c r="F12" i="3"/>
  <c r="G9" i="27" s="1"/>
  <c r="F13" i="3"/>
  <c r="G10" i="27" s="1"/>
  <c r="F7" i="3"/>
  <c r="G4" i="27" s="1"/>
  <c r="A93" i="3"/>
  <c r="A87" i="27" s="1"/>
  <c r="B93" i="3"/>
  <c r="B87" i="27" s="1"/>
  <c r="A94" i="3"/>
  <c r="A88" i="27" s="1"/>
  <c r="B94" i="3"/>
  <c r="B88" i="27" s="1"/>
  <c r="A95" i="3"/>
  <c r="A89" i="27" s="1"/>
  <c r="B95" i="3"/>
  <c r="B89" i="27" s="1"/>
  <c r="A96" i="3"/>
  <c r="A90" i="27" s="1"/>
  <c r="B96" i="3"/>
  <c r="B90" i="27" s="1"/>
  <c r="A97" i="3"/>
  <c r="A91" i="27" s="1"/>
  <c r="B97" i="3"/>
  <c r="B91" i="27" s="1"/>
  <c r="A98" i="3"/>
  <c r="A92" i="27" s="1"/>
  <c r="B98" i="3"/>
  <c r="B92" i="27" s="1"/>
  <c r="A99" i="3"/>
  <c r="A93" i="27" s="1"/>
  <c r="B99" i="3"/>
  <c r="B93" i="27" s="1"/>
  <c r="B92" i="3"/>
  <c r="B86" i="27" s="1"/>
  <c r="A92" i="3"/>
  <c r="A86" i="27" s="1"/>
  <c r="A87" i="3"/>
  <c r="A81" i="27" s="1"/>
  <c r="B87" i="3"/>
  <c r="B81" i="27" s="1"/>
  <c r="A88" i="3"/>
  <c r="A82" i="27" s="1"/>
  <c r="B88" i="3"/>
  <c r="B82" i="27" s="1"/>
  <c r="A89" i="3"/>
  <c r="A83" i="27" s="1"/>
  <c r="B89" i="3"/>
  <c r="B83" i="27" s="1"/>
  <c r="A90" i="3"/>
  <c r="A84" i="27" s="1"/>
  <c r="B90" i="3"/>
  <c r="B84" i="27" s="1"/>
  <c r="B86" i="3"/>
  <c r="B80" i="27" s="1"/>
  <c r="A86" i="3"/>
  <c r="A80" i="27" s="1"/>
  <c r="A68" i="3"/>
  <c r="A62" i="27" s="1"/>
  <c r="B68" i="3"/>
  <c r="B62" i="27" s="1"/>
  <c r="A69" i="3"/>
  <c r="A63" i="27" s="1"/>
  <c r="B69" i="3"/>
  <c r="B63" i="27" s="1"/>
  <c r="A70" i="3"/>
  <c r="A64" i="27" s="1"/>
  <c r="B70" i="3"/>
  <c r="B64" i="27" s="1"/>
  <c r="A71" i="3"/>
  <c r="A65" i="27" s="1"/>
  <c r="B71" i="3"/>
  <c r="B65" i="27" s="1"/>
  <c r="A72" i="3"/>
  <c r="A66" i="27" s="1"/>
  <c r="B72" i="3"/>
  <c r="B66" i="27" s="1"/>
  <c r="A73" i="3"/>
  <c r="A67" i="27" s="1"/>
  <c r="B73" i="3"/>
  <c r="B67" i="27" s="1"/>
  <c r="A74" i="3"/>
  <c r="A68" i="27" s="1"/>
  <c r="B74" i="3"/>
  <c r="B68" i="27" s="1"/>
  <c r="A75" i="3"/>
  <c r="A69" i="27" s="1"/>
  <c r="B75" i="3"/>
  <c r="B69" i="27" s="1"/>
  <c r="A76" i="3"/>
  <c r="A70" i="27" s="1"/>
  <c r="B76" i="3"/>
  <c r="B70" i="27" s="1"/>
  <c r="A77" i="3"/>
  <c r="A71" i="27" s="1"/>
  <c r="B77" i="3"/>
  <c r="B71" i="27" s="1"/>
  <c r="A78" i="3"/>
  <c r="A72" i="27" s="1"/>
  <c r="B78" i="3"/>
  <c r="B72" i="27" s="1"/>
  <c r="A79" i="3"/>
  <c r="A73" i="27" s="1"/>
  <c r="B79" i="3"/>
  <c r="B73" i="27" s="1"/>
  <c r="A80" i="3"/>
  <c r="A74" i="27" s="1"/>
  <c r="B80" i="3"/>
  <c r="B74" i="27" s="1"/>
  <c r="A81" i="3"/>
  <c r="A75" i="27" s="1"/>
  <c r="B81" i="3"/>
  <c r="B75" i="27" s="1"/>
  <c r="A82" i="3"/>
  <c r="A76" i="27" s="1"/>
  <c r="B82" i="3"/>
  <c r="B76" i="27" s="1"/>
  <c r="A83" i="3"/>
  <c r="A77" i="27" s="1"/>
  <c r="B83" i="3"/>
  <c r="B77" i="27" s="1"/>
  <c r="A84" i="3"/>
  <c r="A78" i="27" s="1"/>
  <c r="B84" i="3"/>
  <c r="B78" i="27" s="1"/>
  <c r="B67" i="3"/>
  <c r="B61" i="27" s="1"/>
  <c r="A67" i="3"/>
  <c r="A61" i="27" s="1"/>
  <c r="A61" i="3"/>
  <c r="A55" i="27" s="1"/>
  <c r="B61" i="3"/>
  <c r="B55" i="27" s="1"/>
  <c r="A62" i="3"/>
  <c r="A56" i="27" s="1"/>
  <c r="B62" i="3"/>
  <c r="B56" i="27" s="1"/>
  <c r="A63" i="3"/>
  <c r="A57" i="27" s="1"/>
  <c r="B63" i="3"/>
  <c r="B57" i="27" s="1"/>
  <c r="A64" i="3"/>
  <c r="A58" i="27" s="1"/>
  <c r="B64" i="3"/>
  <c r="B58" i="27" s="1"/>
  <c r="A65" i="3"/>
  <c r="A59" i="27" s="1"/>
  <c r="B65" i="3"/>
  <c r="B59" i="27" s="1"/>
  <c r="B60" i="3"/>
  <c r="B54" i="27" s="1"/>
  <c r="A60" i="3"/>
  <c r="A54" i="27" s="1"/>
  <c r="A51" i="3"/>
  <c r="A47" i="27" s="1"/>
  <c r="B51" i="3"/>
  <c r="B47" i="27" s="1"/>
  <c r="A52" i="3"/>
  <c r="A48" i="27" s="1"/>
  <c r="B52" i="3"/>
  <c r="B48" i="27" s="1"/>
  <c r="A53" i="3"/>
  <c r="A49" i="27" s="1"/>
  <c r="B53" i="3"/>
  <c r="B49" i="27" s="1"/>
  <c r="A54" i="3"/>
  <c r="A50" i="27" s="1"/>
  <c r="B54" i="3"/>
  <c r="B50" i="27" s="1"/>
  <c r="A55" i="3"/>
  <c r="A51" i="27" s="1"/>
  <c r="B55" i="3"/>
  <c r="B51" i="27" s="1"/>
  <c r="A56" i="3"/>
  <c r="A52" i="27" s="1"/>
  <c r="B56" i="3"/>
  <c r="B52" i="27" s="1"/>
  <c r="B50" i="3"/>
  <c r="B46" i="27" s="1"/>
  <c r="A50" i="3"/>
  <c r="A46" i="27" s="1"/>
  <c r="A24" i="3"/>
  <c r="A20" i="27" s="1"/>
  <c r="B24" i="3"/>
  <c r="B20" i="27" s="1"/>
  <c r="A25" i="3"/>
  <c r="A21" i="27" s="1"/>
  <c r="B25" i="3"/>
  <c r="B21" i="27" s="1"/>
  <c r="A26" i="3"/>
  <c r="A22" i="27" s="1"/>
  <c r="B26" i="3"/>
  <c r="B22" i="27" s="1"/>
  <c r="A27" i="3"/>
  <c r="A23" i="27" s="1"/>
  <c r="B27" i="3"/>
  <c r="B23" i="27" s="1"/>
  <c r="A28" i="3"/>
  <c r="A24" i="27" s="1"/>
  <c r="B28" i="3"/>
  <c r="B24" i="27" s="1"/>
  <c r="A29" i="3"/>
  <c r="A25" i="27" s="1"/>
  <c r="B29" i="3"/>
  <c r="B25" i="27" s="1"/>
  <c r="A30" i="3"/>
  <c r="A26" i="27" s="1"/>
  <c r="B30" i="3"/>
  <c r="B26" i="27" s="1"/>
  <c r="A31" i="3"/>
  <c r="A27" i="27" s="1"/>
  <c r="B31" i="3"/>
  <c r="B27" i="27" s="1"/>
  <c r="A32" i="3"/>
  <c r="A28" i="27" s="1"/>
  <c r="B32" i="3"/>
  <c r="B28" i="27" s="1"/>
  <c r="A33" i="3"/>
  <c r="A29" i="27" s="1"/>
  <c r="B33" i="3"/>
  <c r="B29" i="27" s="1"/>
  <c r="A34" i="3"/>
  <c r="A30" i="27" s="1"/>
  <c r="B34" i="3"/>
  <c r="B30" i="27" s="1"/>
  <c r="A35" i="3"/>
  <c r="A31" i="27" s="1"/>
  <c r="B35" i="3"/>
  <c r="B31" i="27" s="1"/>
  <c r="A36" i="3"/>
  <c r="A32" i="27" s="1"/>
  <c r="B36" i="3"/>
  <c r="B32" i="27" s="1"/>
  <c r="A37" i="3"/>
  <c r="A33" i="27" s="1"/>
  <c r="B37" i="3"/>
  <c r="B33" i="27" s="1"/>
  <c r="A38" i="3"/>
  <c r="A34" i="27" s="1"/>
  <c r="B38" i="3"/>
  <c r="B34" i="27" s="1"/>
  <c r="A39" i="3"/>
  <c r="A35" i="27" s="1"/>
  <c r="B39" i="3"/>
  <c r="B35" i="27" s="1"/>
  <c r="A40" i="3"/>
  <c r="A36" i="27" s="1"/>
  <c r="B40" i="3"/>
  <c r="B36" i="27" s="1"/>
  <c r="A41" i="3"/>
  <c r="A37" i="27" s="1"/>
  <c r="B41" i="3"/>
  <c r="B37" i="27" s="1"/>
  <c r="A42" i="3"/>
  <c r="A38" i="27" s="1"/>
  <c r="B42" i="3"/>
  <c r="B38" i="27" s="1"/>
  <c r="A43" i="3"/>
  <c r="A39" i="27" s="1"/>
  <c r="B43" i="3"/>
  <c r="B39" i="27" s="1"/>
  <c r="A44" i="3"/>
  <c r="A40" i="27" s="1"/>
  <c r="B44" i="3"/>
  <c r="B40" i="27" s="1"/>
  <c r="A45" i="3"/>
  <c r="A41" i="27" s="1"/>
  <c r="B45" i="3"/>
  <c r="B41" i="27" s="1"/>
  <c r="A46" i="3"/>
  <c r="A42" i="27" s="1"/>
  <c r="B46" i="3"/>
  <c r="B42" i="27" s="1"/>
  <c r="A47" i="3"/>
  <c r="A43" i="27" s="1"/>
  <c r="B47" i="3"/>
  <c r="B43" i="27" s="1"/>
  <c r="A48" i="3"/>
  <c r="A44" i="27" s="1"/>
  <c r="B48" i="3"/>
  <c r="B44" i="27" s="1"/>
  <c r="B23" i="3"/>
  <c r="B19" i="27" s="1"/>
  <c r="A23" i="3"/>
  <c r="A19" i="27" s="1"/>
  <c r="A9" i="3"/>
  <c r="A5" i="27" s="1"/>
  <c r="B9" i="3"/>
  <c r="B5" i="27" s="1"/>
  <c r="A10" i="3"/>
  <c r="A6" i="27" s="1"/>
  <c r="B10" i="3"/>
  <c r="B6" i="27" s="1"/>
  <c r="A11" i="3"/>
  <c r="A7" i="27" s="1"/>
  <c r="B11" i="3"/>
  <c r="B7" i="27" s="1"/>
  <c r="A12" i="3"/>
  <c r="A8" i="27" s="1"/>
  <c r="B12" i="3"/>
  <c r="B8" i="27" s="1"/>
  <c r="A13" i="3"/>
  <c r="A9" i="27" s="1"/>
  <c r="B13" i="3"/>
  <c r="B9" i="27" s="1"/>
  <c r="A14" i="3"/>
  <c r="A10" i="27" s="1"/>
  <c r="B14" i="3"/>
  <c r="B10" i="27" s="1"/>
  <c r="A15" i="3"/>
  <c r="A11" i="27" s="1"/>
  <c r="B15" i="3"/>
  <c r="B11" i="27" s="1"/>
  <c r="A16" i="3"/>
  <c r="A12" i="27" s="1"/>
  <c r="B16" i="3"/>
  <c r="B12" i="27" s="1"/>
  <c r="A17" i="3"/>
  <c r="A13" i="27" s="1"/>
  <c r="B17" i="3"/>
  <c r="B13" i="27" s="1"/>
  <c r="A18" i="3"/>
  <c r="A14" i="27" s="1"/>
  <c r="B18" i="3"/>
  <c r="B14" i="27" s="1"/>
  <c r="A19" i="3"/>
  <c r="A15" i="27" s="1"/>
  <c r="B19" i="3"/>
  <c r="B15" i="27" s="1"/>
  <c r="A20" i="3"/>
  <c r="A16" i="27" s="1"/>
  <c r="B20" i="3"/>
  <c r="B16" i="27" s="1"/>
  <c r="A21" i="3"/>
  <c r="A17" i="27" s="1"/>
  <c r="B21" i="3"/>
  <c r="B17" i="27" s="1"/>
  <c r="B8" i="3"/>
  <c r="B4" i="27" s="1"/>
  <c r="B4" i="5"/>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A5"/>
  <c r="A6"/>
  <c r="A7"/>
  <c r="A8"/>
  <c r="A9"/>
  <c r="A10"/>
  <c r="D10" s="1"/>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C50" s="1"/>
  <c r="A51"/>
  <c r="C51" s="1"/>
  <c r="A52"/>
  <c r="C52" s="1"/>
  <c r="A53"/>
  <c r="A54"/>
  <c r="A55"/>
  <c r="A56"/>
  <c r="A57"/>
  <c r="A58"/>
  <c r="A59"/>
  <c r="A60"/>
  <c r="A61"/>
  <c r="A62"/>
  <c r="A63"/>
  <c r="A64"/>
  <c r="A65"/>
  <c r="A66"/>
  <c r="A67"/>
  <c r="A68"/>
  <c r="A69"/>
  <c r="A70"/>
  <c r="A71"/>
  <c r="A72"/>
  <c r="A73"/>
  <c r="A74"/>
  <c r="A75"/>
  <c r="C75" s="1"/>
  <c r="A76"/>
  <c r="A77"/>
  <c r="A78"/>
  <c r="A79"/>
  <c r="D79" s="1"/>
  <c r="A80"/>
  <c r="C80" s="1"/>
  <c r="A81"/>
  <c r="D81" s="1"/>
  <c r="A82"/>
  <c r="C82" s="1"/>
  <c r="A83"/>
  <c r="A84"/>
  <c r="A85"/>
  <c r="A86"/>
  <c r="A87"/>
  <c r="A88"/>
  <c r="A89"/>
  <c r="D89" s="1"/>
  <c r="A90"/>
  <c r="C90" s="1"/>
  <c r="A91"/>
  <c r="A92"/>
  <c r="D92" s="1"/>
  <c r="A93"/>
  <c r="C93" s="1"/>
  <c r="A94"/>
  <c r="D94" s="1"/>
  <c r="A95"/>
  <c r="C95" s="1"/>
  <c r="A96"/>
  <c r="D96" s="1"/>
  <c r="A97"/>
  <c r="C97" s="1"/>
  <c r="A98"/>
  <c r="D98" s="1"/>
  <c r="A99"/>
  <c r="C99" s="1"/>
  <c r="A100"/>
  <c r="D100" s="1"/>
  <c r="A101"/>
  <c r="C101" s="1"/>
  <c r="A102"/>
  <c r="A103"/>
  <c r="D103" s="1"/>
  <c r="A104"/>
  <c r="D104" s="1"/>
  <c r="A105"/>
  <c r="C105" s="1"/>
  <c r="A106"/>
  <c r="D106" s="1"/>
  <c r="A107"/>
  <c r="A108"/>
  <c r="D108" s="1"/>
  <c r="A109"/>
  <c r="C109" s="1"/>
  <c r="A110"/>
  <c r="D110" s="1"/>
  <c r="A111"/>
  <c r="C111" s="1"/>
  <c r="A112"/>
  <c r="D112" s="1"/>
  <c r="A113"/>
  <c r="C113" s="1"/>
  <c r="A114"/>
  <c r="A115"/>
  <c r="C115" s="1"/>
  <c r="A116"/>
  <c r="A117"/>
  <c r="A118"/>
  <c r="D118" s="1"/>
  <c r="A119"/>
  <c r="A120"/>
  <c r="D120" s="1"/>
  <c r="A121"/>
  <c r="A122"/>
  <c r="A123"/>
  <c r="D123" s="1"/>
  <c r="A124"/>
  <c r="C124" s="1"/>
  <c r="A125"/>
  <c r="A126"/>
  <c r="A127"/>
  <c r="A128"/>
  <c r="A129"/>
  <c r="A130"/>
  <c r="A131"/>
  <c r="D131" s="1"/>
  <c r="A132"/>
  <c r="D132" s="1"/>
  <c r="A133"/>
  <c r="A134"/>
  <c r="A135"/>
  <c r="A136"/>
  <c r="A137"/>
  <c r="A138"/>
  <c r="A139"/>
  <c r="A140"/>
  <c r="A141"/>
  <c r="A142"/>
  <c r="A143"/>
  <c r="A144"/>
  <c r="A145"/>
  <c r="A146"/>
  <c r="A147"/>
  <c r="A148"/>
  <c r="A149"/>
  <c r="A150"/>
  <c r="A151"/>
  <c r="A152"/>
  <c r="A153"/>
  <c r="A154"/>
  <c r="A155"/>
  <c r="A156"/>
  <c r="A157"/>
  <c r="C157" s="1"/>
  <c r="A158"/>
  <c r="D158" s="1"/>
  <c r="A159"/>
  <c r="A160"/>
  <c r="A161"/>
  <c r="A162"/>
  <c r="A163"/>
  <c r="D163" s="1"/>
  <c r="A164"/>
  <c r="A165"/>
  <c r="A166"/>
  <c r="D166" s="1"/>
  <c r="A167"/>
  <c r="A168"/>
  <c r="A169"/>
  <c r="D169" s="1"/>
  <c r="A170"/>
  <c r="A171"/>
  <c r="D171" s="1"/>
  <c r="A172"/>
  <c r="D172" s="1"/>
  <c r="A173"/>
  <c r="A174"/>
  <c r="D174" s="1"/>
  <c r="A175"/>
  <c r="A176"/>
  <c r="D176" s="1"/>
  <c r="A177"/>
  <c r="A178"/>
  <c r="A179"/>
  <c r="A180"/>
  <c r="A181"/>
  <c r="A182"/>
  <c r="A183"/>
  <c r="A184"/>
  <c r="D184" s="1"/>
  <c r="A185"/>
  <c r="D185" s="1"/>
  <c r="A186"/>
  <c r="D186" s="1"/>
  <c r="A187"/>
  <c r="D187" s="1"/>
  <c r="A188"/>
  <c r="D188" s="1"/>
  <c r="A189"/>
  <c r="D189" s="1"/>
  <c r="A190"/>
  <c r="D190" s="1"/>
  <c r="A191"/>
  <c r="D191" s="1"/>
  <c r="A192"/>
  <c r="D192" s="1"/>
  <c r="A193"/>
  <c r="D193" s="1"/>
  <c r="A194"/>
  <c r="A195"/>
  <c r="D195" s="1"/>
  <c r="A196"/>
  <c r="D196" s="1"/>
  <c r="A197"/>
  <c r="D197" s="1"/>
  <c r="A198"/>
  <c r="A199"/>
  <c r="D199" s="1"/>
  <c r="A200"/>
  <c r="D200" s="1"/>
  <c r="A201"/>
  <c r="D201" s="1"/>
  <c r="A202"/>
  <c r="D202" s="1"/>
  <c r="A203"/>
  <c r="D203" s="1"/>
  <c r="A204"/>
  <c r="D204" s="1"/>
  <c r="A205"/>
  <c r="D205" s="1"/>
  <c r="A206"/>
  <c r="D206" s="1"/>
  <c r="A207"/>
  <c r="D207" s="1"/>
  <c r="A208"/>
  <c r="D208" s="1"/>
  <c r="A209"/>
  <c r="D209" s="1"/>
  <c r="A210"/>
  <c r="D210" s="1"/>
  <c r="A211"/>
  <c r="D211" s="1"/>
  <c r="A212"/>
  <c r="D212" s="1"/>
  <c r="A213"/>
  <c r="D213" s="1"/>
  <c r="A214"/>
  <c r="D214" s="1"/>
  <c r="A215"/>
  <c r="D215" s="1"/>
  <c r="A216"/>
  <c r="D216" s="1"/>
  <c r="A217"/>
  <c r="D217" s="1"/>
  <c r="A218"/>
  <c r="D218" s="1"/>
  <c r="A219"/>
  <c r="D219" s="1"/>
  <c r="A220"/>
  <c r="D220" s="1"/>
  <c r="A221"/>
  <c r="D221" s="1"/>
  <c r="A222"/>
  <c r="D222" s="1"/>
  <c r="A223"/>
  <c r="D223" s="1"/>
  <c r="A224"/>
  <c r="D224" s="1"/>
  <c r="A225"/>
  <c r="D225" s="1"/>
  <c r="A226"/>
  <c r="A227"/>
  <c r="D227" s="1"/>
  <c r="A228"/>
  <c r="A229"/>
  <c r="A230"/>
  <c r="A231"/>
  <c r="A232"/>
  <c r="A233"/>
  <c r="A234"/>
  <c r="A235"/>
  <c r="A236"/>
  <c r="A237"/>
  <c r="D237" s="1"/>
  <c r="A238"/>
  <c r="D238" s="1"/>
  <c r="A239"/>
  <c r="D239" s="1"/>
  <c r="A240"/>
  <c r="D240" s="1"/>
  <c r="A241"/>
  <c r="D241" s="1"/>
  <c r="A242"/>
  <c r="D242" s="1"/>
  <c r="A243"/>
  <c r="D243" s="1"/>
  <c r="A244"/>
  <c r="A245"/>
  <c r="D245" s="1"/>
  <c r="A246"/>
  <c r="D246" s="1"/>
  <c r="A247"/>
  <c r="A248"/>
  <c r="A249"/>
  <c r="A250"/>
  <c r="A251"/>
  <c r="A252"/>
  <c r="A253"/>
  <c r="D253" s="1"/>
  <c r="A254"/>
  <c r="D254" s="1"/>
  <c r="A255"/>
  <c r="A256"/>
  <c r="A257"/>
  <c r="A258"/>
  <c r="C258" s="1"/>
  <c r="A259"/>
  <c r="A260"/>
  <c r="A261"/>
  <c r="C261" s="1"/>
  <c r="A262"/>
  <c r="A263"/>
  <c r="A264"/>
  <c r="A265"/>
  <c r="C265" s="1"/>
  <c r="A266"/>
  <c r="A267"/>
  <c r="C267" s="1"/>
  <c r="A268"/>
  <c r="C268" s="1"/>
  <c r="A269"/>
  <c r="C269" s="1"/>
  <c r="A270"/>
  <c r="A271"/>
  <c r="A272"/>
  <c r="C272" s="1"/>
  <c r="A273"/>
  <c r="A274"/>
  <c r="C274" s="1"/>
  <c r="A275"/>
  <c r="A276"/>
  <c r="C276" s="1"/>
  <c r="A277"/>
  <c r="A278"/>
  <c r="C278" s="1"/>
  <c r="A279"/>
  <c r="A280"/>
  <c r="C280" s="1"/>
  <c r="A281"/>
  <c r="A282"/>
  <c r="A283"/>
  <c r="A284"/>
  <c r="A285"/>
  <c r="A286"/>
  <c r="A287"/>
  <c r="A288"/>
  <c r="A289"/>
  <c r="C289" s="1"/>
  <c r="A290"/>
  <c r="C290" s="1"/>
  <c r="A291"/>
  <c r="A292"/>
  <c r="A293"/>
  <c r="A294"/>
  <c r="A295"/>
  <c r="A296"/>
  <c r="A297"/>
  <c r="C297" s="1"/>
  <c r="A298"/>
  <c r="C298" s="1"/>
  <c r="A299"/>
  <c r="C299" s="1"/>
  <c r="A300"/>
  <c r="A301"/>
  <c r="C301" s="1"/>
  <c r="A302"/>
  <c r="A303"/>
  <c r="A304"/>
  <c r="C304" s="1"/>
  <c r="A305"/>
  <c r="C305" s="1"/>
  <c r="A306"/>
  <c r="C306" s="1"/>
  <c r="A307"/>
  <c r="A308"/>
  <c r="C308" s="1"/>
  <c r="A309"/>
  <c r="A310"/>
  <c r="A311"/>
  <c r="A312"/>
  <c r="A313"/>
  <c r="A314"/>
  <c r="D314" s="1"/>
  <c r="A315"/>
  <c r="D315" s="1"/>
  <c r="A316"/>
  <c r="A317"/>
  <c r="C317" s="1"/>
  <c r="A318"/>
  <c r="A319"/>
  <c r="A320"/>
  <c r="A321"/>
  <c r="A322"/>
  <c r="C322" s="1"/>
  <c r="A323"/>
  <c r="A324"/>
  <c r="A325"/>
  <c r="A326"/>
  <c r="A327"/>
  <c r="A328"/>
  <c r="A329"/>
  <c r="A330"/>
  <c r="A331"/>
  <c r="A332"/>
  <c r="A333"/>
  <c r="A334"/>
  <c r="D334" s="1"/>
  <c r="A335"/>
  <c r="A336"/>
  <c r="A337"/>
  <c r="A338"/>
  <c r="D338" s="1"/>
  <c r="A339"/>
  <c r="A340"/>
  <c r="A341"/>
  <c r="D341" s="1"/>
  <c r="A342"/>
  <c r="D342" s="1"/>
  <c r="A343"/>
  <c r="A344"/>
  <c r="A345"/>
  <c r="A346"/>
  <c r="A347"/>
  <c r="D91" i="6"/>
  <c r="D85"/>
  <c r="D66"/>
  <c r="D49"/>
  <c r="E99" i="25"/>
  <c r="B99"/>
  <c r="A99"/>
  <c r="E98"/>
  <c r="B98"/>
  <c r="A98"/>
  <c r="E97"/>
  <c r="B97"/>
  <c r="A97"/>
  <c r="G96"/>
  <c r="F96"/>
  <c r="E96"/>
  <c r="B96"/>
  <c r="A96"/>
  <c r="G95"/>
  <c r="F95"/>
  <c r="E95"/>
  <c r="B95"/>
  <c r="A95"/>
  <c r="G94"/>
  <c r="F94"/>
  <c r="E94"/>
  <c r="B94"/>
  <c r="A94"/>
  <c r="G93"/>
  <c r="F93"/>
  <c r="E93"/>
  <c r="B93"/>
  <c r="A93"/>
  <c r="G92"/>
  <c r="F92"/>
  <c r="E92"/>
  <c r="B92"/>
  <c r="A92"/>
  <c r="E91"/>
  <c r="C91"/>
  <c r="G90"/>
  <c r="F90"/>
  <c r="E90"/>
  <c r="B90"/>
  <c r="A90"/>
  <c r="G89"/>
  <c r="F89"/>
  <c r="E89"/>
  <c r="B89"/>
  <c r="A89"/>
  <c r="G88"/>
  <c r="F88"/>
  <c r="E88"/>
  <c r="B88"/>
  <c r="A88"/>
  <c r="G87"/>
  <c r="F87"/>
  <c r="E87"/>
  <c r="B87"/>
  <c r="A87"/>
  <c r="G86"/>
  <c r="F86"/>
  <c r="E86"/>
  <c r="B86"/>
  <c r="A86"/>
  <c r="G85"/>
  <c r="F85"/>
  <c r="E85"/>
  <c r="C85"/>
  <c r="G84"/>
  <c r="F84"/>
  <c r="E84"/>
  <c r="B84"/>
  <c r="A84"/>
  <c r="G83"/>
  <c r="F83"/>
  <c r="E83"/>
  <c r="B83"/>
  <c r="A83"/>
  <c r="G82"/>
  <c r="F82"/>
  <c r="E82"/>
  <c r="B82"/>
  <c r="A82"/>
  <c r="G81"/>
  <c r="F81"/>
  <c r="E81"/>
  <c r="B81"/>
  <c r="A81"/>
  <c r="G80"/>
  <c r="F80"/>
  <c r="E80"/>
  <c r="B80"/>
  <c r="A80"/>
  <c r="G79"/>
  <c r="F79"/>
  <c r="E79"/>
  <c r="B79"/>
  <c r="A79"/>
  <c r="G78"/>
  <c r="F78"/>
  <c r="E78"/>
  <c r="B78"/>
  <c r="A78"/>
  <c r="G77"/>
  <c r="F77"/>
  <c r="E77"/>
  <c r="B77"/>
  <c r="A77"/>
  <c r="G76"/>
  <c r="F76"/>
  <c r="E76"/>
  <c r="B76"/>
  <c r="A76"/>
  <c r="G75"/>
  <c r="F75"/>
  <c r="E75"/>
  <c r="B75"/>
  <c r="A75"/>
  <c r="G74"/>
  <c r="F74"/>
  <c r="E74"/>
  <c r="B74"/>
  <c r="A74"/>
  <c r="G73"/>
  <c r="F73"/>
  <c r="E73"/>
  <c r="B73"/>
  <c r="A73"/>
  <c r="G72"/>
  <c r="F72"/>
  <c r="E72"/>
  <c r="B72"/>
  <c r="A72"/>
  <c r="G71"/>
  <c r="F71"/>
  <c r="E71"/>
  <c r="B71"/>
  <c r="A71"/>
  <c r="E70"/>
  <c r="B70"/>
  <c r="A70"/>
  <c r="E69"/>
  <c r="B69"/>
  <c r="A69"/>
  <c r="G68"/>
  <c r="F68"/>
  <c r="E68"/>
  <c r="B68"/>
  <c r="A68"/>
  <c r="G67"/>
  <c r="F67"/>
  <c r="E67"/>
  <c r="E66" s="1"/>
  <c r="B67"/>
  <c r="A67"/>
  <c r="G66"/>
  <c r="F66"/>
  <c r="C66"/>
  <c r="G65"/>
  <c r="F65"/>
  <c r="E65"/>
  <c r="B65"/>
  <c r="A65"/>
  <c r="G64"/>
  <c r="F64"/>
  <c r="E64"/>
  <c r="B64"/>
  <c r="A64"/>
  <c r="G63"/>
  <c r="F63"/>
  <c r="E63"/>
  <c r="B63"/>
  <c r="A63"/>
  <c r="G62"/>
  <c r="F62"/>
  <c r="E62"/>
  <c r="B62"/>
  <c r="A62"/>
  <c r="G61"/>
  <c r="F61"/>
  <c r="E61"/>
  <c r="B61"/>
  <c r="A61"/>
  <c r="G60"/>
  <c r="F60"/>
  <c r="E60"/>
  <c r="B60"/>
  <c r="A60"/>
  <c r="E59"/>
  <c r="D59"/>
  <c r="C59"/>
  <c r="E56"/>
  <c r="B56"/>
  <c r="A56"/>
  <c r="G55"/>
  <c r="F55"/>
  <c r="E55"/>
  <c r="B55"/>
  <c r="A55"/>
  <c r="G54"/>
  <c r="F54"/>
  <c r="E54"/>
  <c r="B54"/>
  <c r="A54"/>
  <c r="G53"/>
  <c r="F53"/>
  <c r="E53"/>
  <c r="B53"/>
  <c r="A53"/>
  <c r="G52"/>
  <c r="F52"/>
  <c r="E52"/>
  <c r="B52"/>
  <c r="A52"/>
  <c r="G51"/>
  <c r="F51"/>
  <c r="E51"/>
  <c r="B51"/>
  <c r="A51"/>
  <c r="G50"/>
  <c r="F50"/>
  <c r="E50"/>
  <c r="B50"/>
  <c r="A50"/>
  <c r="G49"/>
  <c r="F49"/>
  <c r="E49"/>
  <c r="D49"/>
  <c r="C49"/>
  <c r="G48"/>
  <c r="F48"/>
  <c r="E48"/>
  <c r="B48"/>
  <c r="A48"/>
  <c r="E47"/>
  <c r="B47"/>
  <c r="A47"/>
  <c r="G46"/>
  <c r="F46"/>
  <c r="B46"/>
  <c r="A46"/>
  <c r="G45"/>
  <c r="F45"/>
  <c r="E45"/>
  <c r="B45"/>
  <c r="A45"/>
  <c r="G44"/>
  <c r="F44"/>
  <c r="B44"/>
  <c r="A44"/>
  <c r="G43"/>
  <c r="F43"/>
  <c r="E43"/>
  <c r="B43"/>
  <c r="A43"/>
  <c r="G42"/>
  <c r="F42"/>
  <c r="B42"/>
  <c r="A42"/>
  <c r="G41"/>
  <c r="F41"/>
  <c r="E41"/>
  <c r="B41"/>
  <c r="A41"/>
  <c r="G40"/>
  <c r="F40"/>
  <c r="B40"/>
  <c r="A40"/>
  <c r="E39"/>
  <c r="B39"/>
  <c r="A39"/>
  <c r="B38"/>
  <c r="A38"/>
  <c r="E37"/>
  <c r="B37"/>
  <c r="A37"/>
  <c r="B36"/>
  <c r="A36"/>
  <c r="E35"/>
  <c r="B35"/>
  <c r="A35"/>
  <c r="B34"/>
  <c r="A34"/>
  <c r="E33"/>
  <c r="B33"/>
  <c r="A33"/>
  <c r="G32"/>
  <c r="F32"/>
  <c r="B32"/>
  <c r="A32"/>
  <c r="G31"/>
  <c r="F31"/>
  <c r="E31"/>
  <c r="B31"/>
  <c r="A31"/>
  <c r="B30"/>
  <c r="A30"/>
  <c r="G29"/>
  <c r="F29"/>
  <c r="E29"/>
  <c r="B29"/>
  <c r="A29"/>
  <c r="G28"/>
  <c r="F28"/>
  <c r="B28"/>
  <c r="A28"/>
  <c r="E27"/>
  <c r="B27"/>
  <c r="A27"/>
  <c r="G26"/>
  <c r="F26"/>
  <c r="B26"/>
  <c r="A26"/>
  <c r="G25"/>
  <c r="F25"/>
  <c r="E25"/>
  <c r="B25"/>
  <c r="A25"/>
  <c r="G24"/>
  <c r="F24"/>
  <c r="B24"/>
  <c r="A24"/>
  <c r="G23"/>
  <c r="F23"/>
  <c r="E23"/>
  <c r="B23"/>
  <c r="A23"/>
  <c r="G22"/>
  <c r="F22"/>
  <c r="E22"/>
  <c r="D22"/>
  <c r="C22"/>
  <c r="G21"/>
  <c r="F21"/>
  <c r="E21"/>
  <c r="B21"/>
  <c r="A21"/>
  <c r="B20"/>
  <c r="A20"/>
  <c r="G19"/>
  <c r="F19"/>
  <c r="E19"/>
  <c r="B19"/>
  <c r="A19"/>
  <c r="G18"/>
  <c r="F18"/>
  <c r="B18"/>
  <c r="A18"/>
  <c r="G17"/>
  <c r="F17"/>
  <c r="E17"/>
  <c r="B17"/>
  <c r="A17"/>
  <c r="G16"/>
  <c r="F16"/>
  <c r="B16"/>
  <c r="A16"/>
  <c r="G15"/>
  <c r="F15"/>
  <c r="E15"/>
  <c r="B15"/>
  <c r="A15"/>
  <c r="B14"/>
  <c r="A14"/>
  <c r="G13"/>
  <c r="F13"/>
  <c r="E13"/>
  <c r="B13"/>
  <c r="A13"/>
  <c r="G12"/>
  <c r="F12"/>
  <c r="B12"/>
  <c r="A12"/>
  <c r="G11"/>
  <c r="F11"/>
  <c r="E11"/>
  <c r="B11"/>
  <c r="A11"/>
  <c r="G10"/>
  <c r="F10"/>
  <c r="B10"/>
  <c r="A10"/>
  <c r="G9"/>
  <c r="F9"/>
  <c r="E9"/>
  <c r="B9"/>
  <c r="A9"/>
  <c r="G8"/>
  <c r="F8"/>
  <c r="B8"/>
  <c r="G7"/>
  <c r="F7"/>
  <c r="E7"/>
  <c r="E57" s="1"/>
  <c r="D7"/>
  <c r="D57" s="1"/>
  <c r="D101" s="1"/>
  <c r="C7"/>
  <c r="C57" s="1"/>
  <c r="E6"/>
  <c r="I7" i="2"/>
  <c r="H7"/>
  <c r="C66" i="3"/>
  <c r="D347" i="5" l="1"/>
  <c r="C347"/>
  <c r="E347" s="1"/>
  <c r="D346"/>
  <c r="C346"/>
  <c r="E346" s="1"/>
  <c r="D345"/>
  <c r="C345"/>
  <c r="E345" s="1"/>
  <c r="D344"/>
  <c r="C344"/>
  <c r="E344" s="1"/>
  <c r="D343"/>
  <c r="C343"/>
  <c r="E343" s="1"/>
  <c r="D340"/>
  <c r="C340"/>
  <c r="E340" s="1"/>
  <c r="D339"/>
  <c r="C339"/>
  <c r="E339" s="1"/>
  <c r="D337"/>
  <c r="C337"/>
  <c r="E337" s="1"/>
  <c r="D336"/>
  <c r="C336"/>
  <c r="E336" s="1"/>
  <c r="D335"/>
  <c r="C335"/>
  <c r="E335" s="1"/>
  <c r="D333"/>
  <c r="C333"/>
  <c r="E333" s="1"/>
  <c r="D332"/>
  <c r="C332"/>
  <c r="E332" s="1"/>
  <c r="D331"/>
  <c r="C331"/>
  <c r="E331" s="1"/>
  <c r="D330"/>
  <c r="C330"/>
  <c r="E330" s="1"/>
  <c r="D329"/>
  <c r="C329"/>
  <c r="E329" s="1"/>
  <c r="D328"/>
  <c r="C328"/>
  <c r="E328" s="1"/>
  <c r="D327"/>
  <c r="C327"/>
  <c r="E327" s="1"/>
  <c r="D326"/>
  <c r="C326"/>
  <c r="E326" s="1"/>
  <c r="D325"/>
  <c r="C325"/>
  <c r="E325" s="1"/>
  <c r="D324"/>
  <c r="C324"/>
  <c r="E324" s="1"/>
  <c r="D323"/>
  <c r="C323"/>
  <c r="E323" s="1"/>
  <c r="D321"/>
  <c r="C321"/>
  <c r="E321" s="1"/>
  <c r="D320"/>
  <c r="C320"/>
  <c r="E320" s="1"/>
  <c r="D319"/>
  <c r="C319"/>
  <c r="E319" s="1"/>
  <c r="D316"/>
  <c r="C316"/>
  <c r="E316" s="1"/>
  <c r="D313"/>
  <c r="C313"/>
  <c r="E313" s="1"/>
  <c r="D312"/>
  <c r="C312"/>
  <c r="E312" s="1"/>
  <c r="D311"/>
  <c r="C311"/>
  <c r="E311" s="1"/>
  <c r="D310"/>
  <c r="C310"/>
  <c r="E310" s="1"/>
  <c r="D309"/>
  <c r="C309"/>
  <c r="E309" s="1"/>
  <c r="D307"/>
  <c r="C307"/>
  <c r="E307" s="1"/>
  <c r="D303"/>
  <c r="C303"/>
  <c r="E303" s="1"/>
  <c r="D302"/>
  <c r="C302"/>
  <c r="E302" s="1"/>
  <c r="D300"/>
  <c r="C300"/>
  <c r="E300" s="1"/>
  <c r="D296"/>
  <c r="C296"/>
  <c r="E296" s="1"/>
  <c r="D294"/>
  <c r="C294"/>
  <c r="E294" s="1"/>
  <c r="D293"/>
  <c r="C293"/>
  <c r="E293" s="1"/>
  <c r="D292"/>
  <c r="C292"/>
  <c r="E292" s="1"/>
  <c r="D291"/>
  <c r="C291"/>
  <c r="E291" s="1"/>
  <c r="D282"/>
  <c r="C282"/>
  <c r="E282" s="1"/>
  <c r="D281"/>
  <c r="C281"/>
  <c r="E281" s="1"/>
  <c r="D279"/>
  <c r="C279"/>
  <c r="E279" s="1"/>
  <c r="D277"/>
  <c r="C277"/>
  <c r="E277" s="1"/>
  <c r="D275"/>
  <c r="C275"/>
  <c r="E275" s="1"/>
  <c r="D273"/>
  <c r="C273"/>
  <c r="E273" s="1"/>
  <c r="D271"/>
  <c r="C271"/>
  <c r="E271" s="1"/>
  <c r="D270"/>
  <c r="C270"/>
  <c r="E270" s="1"/>
  <c r="D266"/>
  <c r="C266"/>
  <c r="E266" s="1"/>
  <c r="D264"/>
  <c r="C264"/>
  <c r="E264" s="1"/>
  <c r="D263"/>
  <c r="C263"/>
  <c r="E263" s="1"/>
  <c r="D262"/>
  <c r="C262"/>
  <c r="E262" s="1"/>
  <c r="D260"/>
  <c r="C260"/>
  <c r="E260" s="1"/>
  <c r="D257"/>
  <c r="C257"/>
  <c r="E257" s="1"/>
  <c r="D256"/>
  <c r="C256"/>
  <c r="E256" s="1"/>
  <c r="D255"/>
  <c r="C255"/>
  <c r="E255" s="1"/>
  <c r="D252"/>
  <c r="C252"/>
  <c r="E252" s="1"/>
  <c r="D251"/>
  <c r="C251"/>
  <c r="E251" s="1"/>
  <c r="D250"/>
  <c r="C250"/>
  <c r="E250" s="1"/>
  <c r="D249"/>
  <c r="C249"/>
  <c r="E249" s="1"/>
  <c r="D248"/>
  <c r="C248"/>
  <c r="E248" s="1"/>
  <c r="D247"/>
  <c r="C247"/>
  <c r="E247" s="1"/>
  <c r="D244"/>
  <c r="C244"/>
  <c r="E244" s="1"/>
  <c r="D236"/>
  <c r="C236"/>
  <c r="E236" s="1"/>
  <c r="D235"/>
  <c r="C235"/>
  <c r="E235" s="1"/>
  <c r="D234"/>
  <c r="C234"/>
  <c r="E234" s="1"/>
  <c r="D233"/>
  <c r="C233"/>
  <c r="E233" s="1"/>
  <c r="D232"/>
  <c r="C232"/>
  <c r="E232" s="1"/>
  <c r="D231"/>
  <c r="C231"/>
  <c r="E231" s="1"/>
  <c r="D230"/>
  <c r="C230"/>
  <c r="E230" s="1"/>
  <c r="D229"/>
  <c r="C229"/>
  <c r="E229" s="1"/>
  <c r="D228"/>
  <c r="C228"/>
  <c r="E228" s="1"/>
  <c r="D226"/>
  <c r="C226"/>
  <c r="E226" s="1"/>
  <c r="D198"/>
  <c r="C198"/>
  <c r="E198" s="1"/>
  <c r="D177"/>
  <c r="C177"/>
  <c r="D175"/>
  <c r="C175"/>
  <c r="D173"/>
  <c r="C173"/>
  <c r="E173" s="1"/>
  <c r="D170"/>
  <c r="C170"/>
  <c r="E170" s="1"/>
  <c r="D168"/>
  <c r="C168"/>
  <c r="E168" s="1"/>
  <c r="D167"/>
  <c r="C167"/>
  <c r="E167" s="1"/>
  <c r="D165"/>
  <c r="C165"/>
  <c r="E165" s="1"/>
  <c r="D164"/>
  <c r="C164"/>
  <c r="E164" s="1"/>
  <c r="D162"/>
  <c r="C162"/>
  <c r="E162" s="1"/>
  <c r="D161"/>
  <c r="C161"/>
  <c r="E161" s="1"/>
  <c r="D160"/>
  <c r="C160"/>
  <c r="E160" s="1"/>
  <c r="D159"/>
  <c r="C159"/>
  <c r="E159" s="1"/>
  <c r="D156"/>
  <c r="C156"/>
  <c r="E156" s="1"/>
  <c r="D155"/>
  <c r="C155"/>
  <c r="E155" s="1"/>
  <c r="D154"/>
  <c r="C154"/>
  <c r="E154" s="1"/>
  <c r="D152"/>
  <c r="C152"/>
  <c r="E152" s="1"/>
  <c r="D151"/>
  <c r="C151"/>
  <c r="E151" s="1"/>
  <c r="D149"/>
  <c r="C149"/>
  <c r="E149" s="1"/>
  <c r="D147"/>
  <c r="C147"/>
  <c r="E147" s="1"/>
  <c r="D146"/>
  <c r="C146"/>
  <c r="E146" s="1"/>
  <c r="D145"/>
  <c r="C145"/>
  <c r="E145" s="1"/>
  <c r="D144"/>
  <c r="C144"/>
  <c r="E144" s="1"/>
  <c r="D143"/>
  <c r="C143"/>
  <c r="E143" s="1"/>
  <c r="D142"/>
  <c r="C142"/>
  <c r="E142" s="1"/>
  <c r="D141"/>
  <c r="C141"/>
  <c r="E141" s="1"/>
  <c r="D136"/>
  <c r="C136"/>
  <c r="E136" s="1"/>
  <c r="D135"/>
  <c r="C135"/>
  <c r="E135" s="1"/>
  <c r="D134"/>
  <c r="C134"/>
  <c r="E134" s="1"/>
  <c r="D133"/>
  <c r="C133"/>
  <c r="E133" s="1"/>
  <c r="D122"/>
  <c r="C122"/>
  <c r="E122" s="1"/>
  <c r="D121"/>
  <c r="C121"/>
  <c r="E121" s="1"/>
  <c r="D116"/>
  <c r="C116"/>
  <c r="E116" s="1"/>
  <c r="D107"/>
  <c r="C107"/>
  <c r="E107" s="1"/>
  <c r="D88"/>
  <c r="C88"/>
  <c r="E88" s="1"/>
  <c r="D87"/>
  <c r="C87"/>
  <c r="E87" s="1"/>
  <c r="D86"/>
  <c r="C86"/>
  <c r="E86" s="1"/>
  <c r="D85"/>
  <c r="C85"/>
  <c r="E85" s="1"/>
  <c r="D84"/>
  <c r="C84"/>
  <c r="E84" s="1"/>
  <c r="D83"/>
  <c r="C83"/>
  <c r="E83" s="1"/>
  <c r="D78"/>
  <c r="C78"/>
  <c r="E78" s="1"/>
  <c r="D77"/>
  <c r="C77"/>
  <c r="E77" s="1"/>
  <c r="D76"/>
  <c r="C76"/>
  <c r="E76" s="1"/>
  <c r="D74"/>
  <c r="C74"/>
  <c r="E74" s="1"/>
  <c r="D73"/>
  <c r="C73"/>
  <c r="E73" s="1"/>
  <c r="D72"/>
  <c r="C72"/>
  <c r="E72" s="1"/>
  <c r="D71"/>
  <c r="C71"/>
  <c r="E71" s="1"/>
  <c r="D70"/>
  <c r="C70"/>
  <c r="E70" s="1"/>
  <c r="D69"/>
  <c r="C69"/>
  <c r="E69" s="1"/>
  <c r="D68"/>
  <c r="C68"/>
  <c r="E68" s="1"/>
  <c r="D67"/>
  <c r="C67"/>
  <c r="E67" s="1"/>
  <c r="D66"/>
  <c r="C66"/>
  <c r="E66" s="1"/>
  <c r="D65"/>
  <c r="C65"/>
  <c r="E65" s="1"/>
  <c r="D64"/>
  <c r="C64"/>
  <c r="E64" s="1"/>
  <c r="D63"/>
  <c r="C63"/>
  <c r="E63" s="1"/>
  <c r="D62"/>
  <c r="C62"/>
  <c r="E62" s="1"/>
  <c r="D61"/>
  <c r="C61"/>
  <c r="E61" s="1"/>
  <c r="D60"/>
  <c r="C60"/>
  <c r="E60" s="1"/>
  <c r="D59"/>
  <c r="C59"/>
  <c r="E59" s="1"/>
  <c r="D58"/>
  <c r="C58"/>
  <c r="E58" s="1"/>
  <c r="D57"/>
  <c r="C57"/>
  <c r="E57" s="1"/>
  <c r="D56"/>
  <c r="C56"/>
  <c r="E56" s="1"/>
  <c r="D55"/>
  <c r="C55"/>
  <c r="E55" s="1"/>
  <c r="D54"/>
  <c r="C54"/>
  <c r="E54" s="1"/>
  <c r="D53"/>
  <c r="C53"/>
  <c r="E53" s="1"/>
  <c r="D49"/>
  <c r="C49"/>
  <c r="E49" s="1"/>
  <c r="D48"/>
  <c r="C48"/>
  <c r="E48" s="1"/>
  <c r="D46"/>
  <c r="C46"/>
  <c r="E46" s="1"/>
  <c r="D45"/>
  <c r="C45"/>
  <c r="E45" s="1"/>
  <c r="D44"/>
  <c r="C44"/>
  <c r="E44" s="1"/>
  <c r="D43"/>
  <c r="C43"/>
  <c r="E43" s="1"/>
  <c r="D39"/>
  <c r="C39"/>
  <c r="E39" s="1"/>
  <c r="D37"/>
  <c r="C37"/>
  <c r="E37" s="1"/>
  <c r="D36"/>
  <c r="C36"/>
  <c r="E36" s="1"/>
  <c r="D35"/>
  <c r="C35"/>
  <c r="E35" s="1"/>
  <c r="D34"/>
  <c r="C34"/>
  <c r="E34" s="1"/>
  <c r="D33"/>
  <c r="C33"/>
  <c r="E33" s="1"/>
  <c r="D32"/>
  <c r="C32"/>
  <c r="E32" s="1"/>
  <c r="D31"/>
  <c r="C31"/>
  <c r="E31" s="1"/>
  <c r="D30"/>
  <c r="C30"/>
  <c r="E30" s="1"/>
  <c r="D29"/>
  <c r="C29"/>
  <c r="E29" s="1"/>
  <c r="D28"/>
  <c r="C28"/>
  <c r="E28" s="1"/>
  <c r="D26"/>
  <c r="C26"/>
  <c r="E26" s="1"/>
  <c r="D25"/>
  <c r="C25"/>
  <c r="E25" s="1"/>
  <c r="D24"/>
  <c r="C24"/>
  <c r="E24" s="1"/>
  <c r="D23"/>
  <c r="C23"/>
  <c r="E23" s="1"/>
  <c r="D22"/>
  <c r="C22"/>
  <c r="E22" s="1"/>
  <c r="D21"/>
  <c r="C21"/>
  <c r="E21" s="1"/>
  <c r="D20"/>
  <c r="C20"/>
  <c r="E20" s="1"/>
  <c r="D19"/>
  <c r="C19"/>
  <c r="E19" s="1"/>
  <c r="D18"/>
  <c r="C18"/>
  <c r="E18" s="1"/>
  <c r="D17"/>
  <c r="C17"/>
  <c r="E17" s="1"/>
  <c r="D16"/>
  <c r="C16"/>
  <c r="E16" s="1"/>
  <c r="D15"/>
  <c r="C15"/>
  <c r="E15" s="1"/>
  <c r="D14"/>
  <c r="C14"/>
  <c r="E14" s="1"/>
  <c r="D13"/>
  <c r="C13"/>
  <c r="E13" s="1"/>
  <c r="D12"/>
  <c r="C12"/>
  <c r="E12" s="1"/>
  <c r="D11"/>
  <c r="C11"/>
  <c r="E11" s="1"/>
  <c r="D9"/>
  <c r="C9"/>
  <c r="E9" s="1"/>
  <c r="D8"/>
  <c r="C8"/>
  <c r="E8" s="1"/>
  <c r="D7"/>
  <c r="C7"/>
  <c r="E7" s="1"/>
  <c r="D6"/>
  <c r="C6"/>
  <c r="E6" s="1"/>
  <c r="D5"/>
  <c r="C5"/>
  <c r="E5" s="1"/>
  <c r="D289"/>
  <c r="A21" i="6"/>
  <c r="A20"/>
  <c r="A19"/>
  <c r="A18"/>
  <c r="A17"/>
  <c r="A16"/>
  <c r="A15"/>
  <c r="A14"/>
  <c r="A13"/>
  <c r="A12"/>
  <c r="A11"/>
  <c r="A10"/>
  <c r="A9"/>
  <c r="B21"/>
  <c r="B20"/>
  <c r="B19"/>
  <c r="B18"/>
  <c r="B17"/>
  <c r="B16"/>
  <c r="B15"/>
  <c r="B14"/>
  <c r="B13"/>
  <c r="B12"/>
  <c r="B11"/>
  <c r="B10"/>
  <c r="B9"/>
  <c r="B8"/>
  <c r="A48"/>
  <c r="A47"/>
  <c r="A46"/>
  <c r="A45"/>
  <c r="A44"/>
  <c r="A43"/>
  <c r="A42"/>
  <c r="A41"/>
  <c r="A40"/>
  <c r="A39"/>
  <c r="A38"/>
  <c r="A37"/>
  <c r="A36"/>
  <c r="A35"/>
  <c r="A34"/>
  <c r="A33"/>
  <c r="A32"/>
  <c r="A31"/>
  <c r="A30"/>
  <c r="A29"/>
  <c r="A28"/>
  <c r="A27"/>
  <c r="A26"/>
  <c r="A25"/>
  <c r="A24"/>
  <c r="B48"/>
  <c r="B47"/>
  <c r="B46"/>
  <c r="B45"/>
  <c r="B44"/>
  <c r="B43"/>
  <c r="B42"/>
  <c r="B41"/>
  <c r="B40"/>
  <c r="B39"/>
  <c r="B38"/>
  <c r="B37"/>
  <c r="B36"/>
  <c r="B35"/>
  <c r="B34"/>
  <c r="B33"/>
  <c r="B32"/>
  <c r="B31"/>
  <c r="B30"/>
  <c r="B29"/>
  <c r="B28"/>
  <c r="B27"/>
  <c r="B26"/>
  <c r="B25"/>
  <c r="B24"/>
  <c r="B23"/>
  <c r="A15" i="26" s="1"/>
  <c r="A56" i="6"/>
  <c r="A55"/>
  <c r="A54"/>
  <c r="A53"/>
  <c r="A52"/>
  <c r="A51"/>
  <c r="B56"/>
  <c r="B55"/>
  <c r="B54"/>
  <c r="B53"/>
  <c r="B52"/>
  <c r="B51"/>
  <c r="B50"/>
  <c r="B60"/>
  <c r="A31" i="26" s="1"/>
  <c r="B65" i="6"/>
  <c r="A65"/>
  <c r="B64"/>
  <c r="A34" i="26" s="1"/>
  <c r="A64" i="6"/>
  <c r="B63"/>
  <c r="A63"/>
  <c r="B62"/>
  <c r="A33" i="26" s="1"/>
  <c r="A62" i="6"/>
  <c r="B61"/>
  <c r="A32" i="26" s="1"/>
  <c r="A61" i="6"/>
  <c r="A84"/>
  <c r="A83"/>
  <c r="A82"/>
  <c r="A81"/>
  <c r="A80"/>
  <c r="A79"/>
  <c r="A78"/>
  <c r="A77"/>
  <c r="A76"/>
  <c r="A75"/>
  <c r="A74"/>
  <c r="A73"/>
  <c r="A72"/>
  <c r="A71"/>
  <c r="A70"/>
  <c r="A69"/>
  <c r="A68"/>
  <c r="B84"/>
  <c r="B83"/>
  <c r="B82"/>
  <c r="B81"/>
  <c r="B80"/>
  <c r="B79"/>
  <c r="B78"/>
  <c r="B77"/>
  <c r="B76"/>
  <c r="B75"/>
  <c r="B74"/>
  <c r="B73"/>
  <c r="B72"/>
  <c r="B71"/>
  <c r="B70"/>
  <c r="B69"/>
  <c r="B68"/>
  <c r="B67"/>
  <c r="A90"/>
  <c r="A89"/>
  <c r="A88"/>
  <c r="A87"/>
  <c r="B90"/>
  <c r="A49" i="26" s="1"/>
  <c r="B89" i="6"/>
  <c r="A48" i="26" s="1"/>
  <c r="B88" i="6"/>
  <c r="A47" i="26" s="1"/>
  <c r="B87" i="6"/>
  <c r="A46" i="26" s="1"/>
  <c r="B86" i="6"/>
  <c r="A45" i="26" s="1"/>
  <c r="A99" i="6"/>
  <c r="A98"/>
  <c r="A97"/>
  <c r="A96"/>
  <c r="A95"/>
  <c r="A94"/>
  <c r="A93"/>
  <c r="B99"/>
  <c r="B98"/>
  <c r="B97"/>
  <c r="B96"/>
  <c r="B95"/>
  <c r="B94"/>
  <c r="B93"/>
  <c r="B92"/>
  <c r="G7"/>
  <c r="A59" i="26" s="1"/>
  <c r="G13" i="6"/>
  <c r="A62" i="26" s="1"/>
  <c r="F13" i="6"/>
  <c r="G12"/>
  <c r="A61" i="26" s="1"/>
  <c r="F12" i="6"/>
  <c r="G11"/>
  <c r="A60" i="26" s="1"/>
  <c r="F11" i="6"/>
  <c r="G10"/>
  <c r="F10"/>
  <c r="G9"/>
  <c r="F9"/>
  <c r="G8"/>
  <c r="F8"/>
  <c r="G15"/>
  <c r="G19"/>
  <c r="F19"/>
  <c r="G18"/>
  <c r="F18"/>
  <c r="G17"/>
  <c r="F17"/>
  <c r="G16"/>
  <c r="F16"/>
  <c r="G21"/>
  <c r="A65" i="26" s="1"/>
  <c r="G26" i="6"/>
  <c r="F26"/>
  <c r="G25"/>
  <c r="A69" i="26" s="1"/>
  <c r="F25" i="6"/>
  <c r="G24"/>
  <c r="A68" i="26" s="1"/>
  <c r="F24" i="6"/>
  <c r="G23"/>
  <c r="A67" i="26" s="1"/>
  <c r="F23" i="6"/>
  <c r="G22"/>
  <c r="F22"/>
  <c r="F29"/>
  <c r="G31"/>
  <c r="G32"/>
  <c r="F32"/>
  <c r="G40"/>
  <c r="A84" i="26" s="1"/>
  <c r="G46" i="6"/>
  <c r="F46"/>
  <c r="G45"/>
  <c r="A87" i="26" s="1"/>
  <c r="F45" i="6"/>
  <c r="G44"/>
  <c r="F44"/>
  <c r="G43"/>
  <c r="F43"/>
  <c r="G42"/>
  <c r="A86" i="26" s="1"/>
  <c r="F42" i="6"/>
  <c r="G41"/>
  <c r="A85" i="26" s="1"/>
  <c r="F41" i="6"/>
  <c r="F55"/>
  <c r="F54"/>
  <c r="F53"/>
  <c r="F52"/>
  <c r="F51"/>
  <c r="F50"/>
  <c r="F49"/>
  <c r="G55"/>
  <c r="A81" i="26" s="1"/>
  <c r="G54" i="6"/>
  <c r="A80" i="26" s="1"/>
  <c r="G53" i="6"/>
  <c r="A79" i="26" s="1"/>
  <c r="G52" i="6"/>
  <c r="A78" i="26" s="1"/>
  <c r="G51" i="6"/>
  <c r="A77" i="26" s="1"/>
  <c r="G50" i="6"/>
  <c r="A76" i="26" s="1"/>
  <c r="G49" i="6"/>
  <c r="A75" i="26" s="1"/>
  <c r="G48" i="6"/>
  <c r="A74" i="26" s="1"/>
  <c r="F68" i="6"/>
  <c r="F67"/>
  <c r="F66"/>
  <c r="F65"/>
  <c r="F64"/>
  <c r="F63"/>
  <c r="F62"/>
  <c r="F61"/>
  <c r="G68"/>
  <c r="A98" i="26" s="1"/>
  <c r="G67" i="6"/>
  <c r="A97" i="26" s="1"/>
  <c r="G66" i="6"/>
  <c r="A96" i="26" s="1"/>
  <c r="G65" i="6"/>
  <c r="A95" i="26" s="1"/>
  <c r="G64" i="6"/>
  <c r="A94" i="26" s="1"/>
  <c r="G63" i="6"/>
  <c r="A93" i="26" s="1"/>
  <c r="G62" i="6"/>
  <c r="A92" i="26" s="1"/>
  <c r="G61" i="6"/>
  <c r="A91" i="26" s="1"/>
  <c r="G60" i="6"/>
  <c r="A90" i="26" s="1"/>
  <c r="F90" i="6"/>
  <c r="F89"/>
  <c r="F88"/>
  <c r="F87"/>
  <c r="F86"/>
  <c r="F85"/>
  <c r="F84"/>
  <c r="F83"/>
  <c r="F82"/>
  <c r="F81"/>
  <c r="F80"/>
  <c r="F79"/>
  <c r="F78"/>
  <c r="F77"/>
  <c r="F76"/>
  <c r="F75"/>
  <c r="F74"/>
  <c r="F73"/>
  <c r="F72"/>
  <c r="G78"/>
  <c r="G77"/>
  <c r="G76"/>
  <c r="A102" i="26" s="1"/>
  <c r="G75" i="6"/>
  <c r="G74"/>
  <c r="G90"/>
  <c r="G89"/>
  <c r="G88"/>
  <c r="G87"/>
  <c r="G86"/>
  <c r="G85"/>
  <c r="A103" i="26" s="1"/>
  <c r="G84" i="6"/>
  <c r="G83"/>
  <c r="G82"/>
  <c r="G81"/>
  <c r="G80"/>
  <c r="G92"/>
  <c r="A105" i="26" s="1"/>
  <c r="G96" i="6"/>
  <c r="A106" i="26" s="1"/>
  <c r="F96" i="6"/>
  <c r="G95"/>
  <c r="F95"/>
  <c r="G94"/>
  <c r="F94"/>
  <c r="G93"/>
  <c r="F93"/>
  <c r="F98"/>
  <c r="G98"/>
  <c r="A107" i="26" s="1"/>
  <c r="G99" i="6"/>
  <c r="A108" i="26" s="1"/>
  <c r="F99" i="6"/>
  <c r="E175" i="5"/>
  <c r="E289"/>
  <c r="E177"/>
  <c r="G2" i="2"/>
  <c r="A2" s="1"/>
  <c r="H99" i="6"/>
  <c r="J94" i="27" s="1"/>
  <c r="C17" i="4"/>
  <c r="C14"/>
  <c r="C8"/>
  <c r="C12"/>
  <c r="C9"/>
  <c r="C6"/>
  <c r="C11"/>
  <c r="D100" i="6"/>
  <c r="C100" i="25"/>
  <c r="C101" s="1"/>
  <c r="E100"/>
  <c r="E101" s="1"/>
  <c r="B7" i="6"/>
  <c r="A7"/>
  <c r="D59"/>
  <c r="H113" i="3"/>
  <c r="H118"/>
  <c r="H119" s="1"/>
  <c r="H70"/>
  <c r="H114" s="1"/>
  <c r="F92" i="6"/>
  <c r="G72"/>
  <c r="A100" i="26" s="1"/>
  <c r="G73" i="6"/>
  <c r="G79"/>
  <c r="A101" i="26" s="1"/>
  <c r="G71" i="6"/>
  <c r="H59" i="3"/>
  <c r="H100" s="1"/>
  <c r="H109"/>
  <c r="D7"/>
  <c r="D22"/>
  <c r="D49"/>
  <c r="D59"/>
  <c r="C59"/>
  <c r="C49"/>
  <c r="C22"/>
  <c r="C7"/>
  <c r="F71" i="6"/>
  <c r="F48"/>
  <c r="F40"/>
  <c r="F31"/>
  <c r="G29"/>
  <c r="G28"/>
  <c r="F28"/>
  <c r="F21"/>
  <c r="F15"/>
  <c r="A4" i="5"/>
  <c r="D4" s="1"/>
  <c r="F7" i="6"/>
  <c r="E84" i="3"/>
  <c r="C78" i="27" s="1"/>
  <c r="G257" i="22"/>
  <c r="E2001" i="2"/>
  <c r="F2001"/>
  <c r="E95" i="3"/>
  <c r="C89" i="27" s="1"/>
  <c r="E96" i="3"/>
  <c r="C90" i="27" s="1"/>
  <c r="E97" i="3"/>
  <c r="C91" i="27" s="1"/>
  <c r="E98" i="3"/>
  <c r="C92" i="27" s="1"/>
  <c r="E99" i="3"/>
  <c r="C93" i="27" s="1"/>
  <c r="I4" i="1"/>
  <c r="I5" s="1"/>
  <c r="I6" s="1"/>
  <c r="I7" s="1"/>
  <c r="I8" s="1"/>
  <c r="I9" s="1"/>
  <c r="I10" s="1"/>
  <c r="I11" s="1"/>
  <c r="I12" s="1"/>
  <c r="I13" s="1"/>
  <c r="I14" s="1"/>
  <c r="I15" s="1"/>
  <c r="I16" s="1"/>
  <c r="I17" s="1"/>
  <c r="I18" s="1"/>
  <c r="I19" s="1"/>
  <c r="I20" s="1"/>
  <c r="I21" s="1"/>
  <c r="I32" s="1"/>
  <c r="I33" s="1"/>
  <c r="I34" s="1"/>
  <c r="I35" s="1"/>
  <c r="I36" s="1"/>
  <c r="I37" s="1"/>
  <c r="I38" s="1"/>
  <c r="I39" s="1"/>
  <c r="I40" s="1"/>
  <c r="I41" s="1"/>
  <c r="I42" s="1"/>
  <c r="I43" s="1"/>
  <c r="I44" s="1"/>
  <c r="I45" s="1"/>
  <c r="I46" s="1"/>
  <c r="I47" s="1"/>
  <c r="I48" s="1"/>
  <c r="I49" s="1"/>
  <c r="I50" s="1"/>
  <c r="I51" s="1"/>
  <c r="I52" s="1"/>
  <c r="I53" s="1"/>
  <c r="I54" s="1"/>
  <c r="I74" s="1"/>
  <c r="I75" s="1"/>
  <c r="I76" s="1"/>
  <c r="I77" s="1"/>
  <c r="I78" s="1"/>
  <c r="I79" s="1"/>
  <c r="I80" s="1"/>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I117" s="1"/>
  <c r="I118" s="1"/>
  <c r="I119" s="1"/>
  <c r="I120" s="1"/>
  <c r="I121" s="1"/>
  <c r="I122" s="1"/>
  <c r="I123" s="1"/>
  <c r="I124" s="1"/>
  <c r="I125" s="1"/>
  <c r="I126" s="1"/>
  <c r="I127" s="1"/>
  <c r="I128" s="1"/>
  <c r="I129" s="1"/>
  <c r="I130" s="1"/>
  <c r="I131" s="1"/>
  <c r="I132" s="1"/>
  <c r="I133" s="1"/>
  <c r="I134" s="1"/>
  <c r="I135" s="1"/>
  <c r="I136" s="1"/>
  <c r="I137" s="1"/>
  <c r="I138" s="1"/>
  <c r="I139" s="1"/>
  <c r="I140" s="1"/>
  <c r="I141" s="1"/>
  <c r="I142" s="1"/>
  <c r="I143" s="1"/>
  <c r="I144" s="1"/>
  <c r="I145" s="1"/>
  <c r="I147" s="1"/>
  <c r="I148" s="1"/>
  <c r="I149" s="1"/>
  <c r="I150" s="1"/>
  <c r="I151" s="1"/>
  <c r="I152" s="1"/>
  <c r="I153" s="1"/>
  <c r="I154" s="1"/>
  <c r="I155" s="1"/>
  <c r="I156" s="1"/>
  <c r="I157" s="1"/>
  <c r="I158" s="1"/>
  <c r="I159" s="1"/>
  <c r="I160" s="1"/>
  <c r="I161" s="1"/>
  <c r="I162" s="1"/>
  <c r="I163" s="1"/>
  <c r="I164" s="1"/>
  <c r="I165" s="1"/>
  <c r="I166" s="1"/>
  <c r="I167" s="1"/>
  <c r="I168" s="1"/>
  <c r="I169" s="1"/>
  <c r="I170" s="1"/>
  <c r="I171" s="1"/>
  <c r="I172" s="1"/>
  <c r="I173" s="1"/>
  <c r="I174" s="1"/>
  <c r="I175" s="1"/>
  <c r="I176" s="1"/>
  <c r="I177" s="1"/>
  <c r="I178" s="1"/>
  <c r="I179" s="1"/>
  <c r="I180" s="1"/>
  <c r="I181" s="1"/>
  <c r="I182" s="1"/>
  <c r="I183" s="1"/>
  <c r="I184" s="1"/>
  <c r="I185" s="1"/>
  <c r="I186" s="1"/>
  <c r="I187" s="1"/>
  <c r="I188" s="1"/>
  <c r="I189" s="1"/>
  <c r="I190" s="1"/>
  <c r="I191" s="1"/>
  <c r="I192" s="1"/>
  <c r="I193" s="1"/>
  <c r="I194" s="1"/>
  <c r="I195" s="1"/>
  <c r="I196" s="1"/>
  <c r="I197" s="1"/>
  <c r="I198" s="1"/>
  <c r="I199" s="1"/>
  <c r="I200" s="1"/>
  <c r="I201" s="1"/>
  <c r="I202" s="1"/>
  <c r="I203" s="1"/>
  <c r="I204" s="1"/>
  <c r="I205" s="1"/>
  <c r="I206" s="1"/>
  <c r="I207" s="1"/>
  <c r="I208" s="1"/>
  <c r="I209" s="1"/>
  <c r="I210" s="1"/>
  <c r="I211" s="1"/>
  <c r="I212" s="1"/>
  <c r="I213" s="1"/>
  <c r="I214" s="1"/>
  <c r="I215" s="1"/>
  <c r="I216" s="1"/>
  <c r="I217" s="1"/>
  <c r="I218" s="1"/>
  <c r="I219" s="1"/>
  <c r="I220" s="1"/>
  <c r="I221" s="1"/>
  <c r="I222" s="1"/>
  <c r="I223" s="1"/>
  <c r="I224" s="1"/>
  <c r="I225" s="1"/>
  <c r="I226" s="1"/>
  <c r="I227" s="1"/>
  <c r="I228" s="1"/>
  <c r="I229" s="1"/>
  <c r="I230" s="1"/>
  <c r="I231" s="1"/>
  <c r="I232" s="1"/>
  <c r="I233" s="1"/>
  <c r="I234" s="1"/>
  <c r="I235" s="1"/>
  <c r="I236" s="1"/>
  <c r="I237" s="1"/>
  <c r="I238" s="1"/>
  <c r="I239" s="1"/>
  <c r="I240" s="1"/>
  <c r="I241" s="1"/>
  <c r="I242" s="1"/>
  <c r="I243" s="1"/>
  <c r="I244" s="1"/>
  <c r="I245" s="1"/>
  <c r="I246" s="1"/>
  <c r="I247" s="1"/>
  <c r="I248" s="1"/>
  <c r="I249" s="1"/>
  <c r="I250" s="1"/>
  <c r="I251" s="1"/>
  <c r="I252" s="1"/>
  <c r="I253" s="1"/>
  <c r="I254" s="1"/>
  <c r="I255" s="1"/>
  <c r="I256" s="1"/>
  <c r="I257" s="1"/>
  <c r="I258" s="1"/>
  <c r="I259" s="1"/>
  <c r="I260" s="1"/>
  <c r="I261" s="1"/>
  <c r="I262" s="1"/>
  <c r="I263" s="1"/>
  <c r="I264" s="1"/>
  <c r="I265" s="1"/>
  <c r="I266" s="1"/>
  <c r="I267" s="1"/>
  <c r="I268" s="1"/>
  <c r="I269" s="1"/>
  <c r="I270" s="1"/>
  <c r="I271" s="1"/>
  <c r="I272" s="1"/>
  <c r="I273" s="1"/>
  <c r="I274" s="1"/>
  <c r="I275" s="1"/>
  <c r="I276" s="1"/>
  <c r="I277" s="1"/>
  <c r="I278" s="1"/>
  <c r="I279" s="1"/>
  <c r="I280" s="1"/>
  <c r="I281" s="1"/>
  <c r="I282" s="1"/>
  <c r="I283" s="1"/>
  <c r="I284" s="1"/>
  <c r="I285" s="1"/>
  <c r="I286" s="1"/>
  <c r="I287" s="1"/>
  <c r="I288" s="1"/>
  <c r="I289" s="1"/>
  <c r="I290" s="1"/>
  <c r="I291" s="1"/>
  <c r="I292" s="1"/>
  <c r="I293" s="1"/>
  <c r="I294" s="1"/>
  <c r="I295" s="1"/>
  <c r="I296" s="1"/>
  <c r="I297" s="1"/>
  <c r="I298" s="1"/>
  <c r="I299" s="1"/>
  <c r="I300" s="1"/>
  <c r="I301" s="1"/>
  <c r="I302" s="1"/>
  <c r="I303" s="1"/>
  <c r="I304" s="1"/>
  <c r="I305" s="1"/>
  <c r="I306" s="1"/>
  <c r="I307" s="1"/>
  <c r="I308" s="1"/>
  <c r="I309" s="1"/>
  <c r="I310" s="1"/>
  <c r="I311" s="1"/>
  <c r="I312" s="1"/>
  <c r="I313" s="1"/>
  <c r="I314" s="1"/>
  <c r="I315" s="1"/>
  <c r="I316" s="1"/>
  <c r="I317" s="1"/>
  <c r="I318" s="1"/>
  <c r="I319" s="1"/>
  <c r="I320" s="1"/>
  <c r="I321" s="1"/>
  <c r="I322" s="1"/>
  <c r="I323" s="1"/>
  <c r="I324" s="1"/>
  <c r="I325" s="1"/>
  <c r="I326" s="1"/>
  <c r="I327" s="1"/>
  <c r="I328" s="1"/>
  <c r="I329" s="1"/>
  <c r="I330" s="1"/>
  <c r="I331" s="1"/>
  <c r="I332" s="1"/>
  <c r="I333" s="1"/>
  <c r="I334" s="1"/>
  <c r="I335" s="1"/>
  <c r="I336" s="1"/>
  <c r="I337" s="1"/>
  <c r="I338" s="1"/>
  <c r="I339" s="1"/>
  <c r="I340" s="1"/>
  <c r="I341" s="1"/>
  <c r="I342" s="1"/>
  <c r="I343" s="1"/>
  <c r="I344" s="1"/>
  <c r="I345" s="1"/>
  <c r="I346" s="1"/>
  <c r="I347" s="1"/>
  <c r="I348" s="1"/>
  <c r="I349" s="1"/>
  <c r="I350" s="1"/>
  <c r="I351" s="1"/>
  <c r="I352" s="1"/>
  <c r="I353" s="1"/>
  <c r="I354" s="1"/>
  <c r="I355" s="1"/>
  <c r="I356" s="1"/>
  <c r="I357" s="1"/>
  <c r="I358" s="1"/>
  <c r="I359" s="1"/>
  <c r="I360" s="1"/>
  <c r="I361" s="1"/>
  <c r="I362" s="1"/>
  <c r="I363" s="1"/>
  <c r="I364" s="1"/>
  <c r="I365" s="1"/>
  <c r="I366" s="1"/>
  <c r="I367" s="1"/>
  <c r="I368" s="1"/>
  <c r="I369" s="1"/>
  <c r="I370" s="1"/>
  <c r="I371" s="1"/>
  <c r="I372" s="1"/>
  <c r="I373" s="1"/>
  <c r="I374" s="1"/>
  <c r="I375" s="1"/>
  <c r="I376" s="1"/>
  <c r="I377" s="1"/>
  <c r="I378" s="1"/>
  <c r="I379" s="1"/>
  <c r="I380" s="1"/>
  <c r="I381" s="1"/>
  <c r="I382" s="1"/>
  <c r="I383" s="1"/>
  <c r="I384" s="1"/>
  <c r="I385" s="1"/>
  <c r="I386" s="1"/>
  <c r="I387" s="1"/>
  <c r="I388" s="1"/>
  <c r="I389" s="1"/>
  <c r="I390" s="1"/>
  <c r="I391" s="1"/>
  <c r="A246" i="22"/>
  <c r="G246"/>
  <c r="G120"/>
  <c r="H125" s="1"/>
  <c r="A125"/>
  <c r="B125"/>
  <c r="D125"/>
  <c r="E125"/>
  <c r="B108" i="26" l="1"/>
  <c r="A4" i="25"/>
  <c r="H107" i="3"/>
  <c r="C100"/>
  <c r="C57"/>
  <c r="C101"/>
  <c r="H57"/>
  <c r="H101" s="1"/>
  <c r="D57"/>
  <c r="D101" s="1"/>
  <c r="H108" s="1"/>
  <c r="G2001" i="2"/>
  <c r="H2001"/>
  <c r="H121" i="22"/>
  <c r="A59" i="10"/>
  <c r="A58"/>
  <c r="J56"/>
  <c r="J59" s="1"/>
  <c r="J52"/>
  <c r="I52"/>
  <c r="H52"/>
  <c r="G52"/>
  <c r="F52"/>
  <c r="F51"/>
  <c r="G51" s="1"/>
  <c r="H51" s="1"/>
  <c r="I51" s="1"/>
  <c r="J51" s="1"/>
  <c r="A49"/>
  <c r="A48"/>
  <c r="A47"/>
  <c r="E45"/>
  <c r="F45" s="1"/>
  <c r="A45"/>
  <c r="E44"/>
  <c r="E55" s="1"/>
  <c r="A44"/>
  <c r="J43"/>
  <c r="I43"/>
  <c r="H43"/>
  <c r="F43"/>
  <c r="E43"/>
  <c r="A43"/>
  <c r="J40"/>
  <c r="J58" s="1"/>
  <c r="J60" s="1"/>
  <c r="E39"/>
  <c r="J36"/>
  <c r="I36"/>
  <c r="H36"/>
  <c r="G36"/>
  <c r="F36"/>
  <c r="E36"/>
  <c r="F35"/>
  <c r="G35" s="1"/>
  <c r="H35" s="1"/>
  <c r="I35" s="1"/>
  <c r="J35" s="1"/>
  <c r="F33"/>
  <c r="H33" s="1"/>
  <c r="J33" s="1"/>
  <c r="F28"/>
  <c r="F30" s="1"/>
  <c r="F31" s="1"/>
  <c r="D68"/>
  <c r="G68"/>
  <c r="D69"/>
  <c r="G69"/>
  <c r="D70"/>
  <c r="G70"/>
  <c r="D71"/>
  <c r="G71"/>
  <c r="D72"/>
  <c r="G72"/>
  <c r="J17"/>
  <c r="J18" s="1"/>
  <c r="A18" s="1"/>
  <c r="J10"/>
  <c r="J11" s="1"/>
  <c r="G127" i="3"/>
  <c r="D97" i="5"/>
  <c r="E97" s="1"/>
  <c r="D99"/>
  <c r="E99" s="1"/>
  <c r="D101"/>
  <c r="E101" s="1"/>
  <c r="D105"/>
  <c r="E105" s="1"/>
  <c r="D109"/>
  <c r="E109" s="1"/>
  <c r="D111"/>
  <c r="E111" s="1"/>
  <c r="D113"/>
  <c r="E113" s="1"/>
  <c r="D115"/>
  <c r="E115" s="1"/>
  <c r="C340" i="1"/>
  <c r="H29" i="6"/>
  <c r="J26" i="27" s="1"/>
  <c r="D137" i="5"/>
  <c r="H40" i="6"/>
  <c r="J37" i="27" s="1"/>
  <c r="C137" i="5"/>
  <c r="H44" i="6"/>
  <c r="J41" i="27" s="1"/>
  <c r="H46" i="6"/>
  <c r="J43" i="27" s="1"/>
  <c r="H48" i="6"/>
  <c r="J45" i="27" s="1"/>
  <c r="H49" i="6"/>
  <c r="H50"/>
  <c r="H52"/>
  <c r="H54"/>
  <c r="D268" i="5"/>
  <c r="E268" s="1"/>
  <c r="D267"/>
  <c r="E267" s="1"/>
  <c r="D269"/>
  <c r="E269" s="1"/>
  <c r="D274"/>
  <c r="E274" s="1"/>
  <c r="D272"/>
  <c r="E272" s="1"/>
  <c r="H80" i="6"/>
  <c r="J75" i="27" s="1"/>
  <c r="C259" i="5"/>
  <c r="H83" i="6"/>
  <c r="J78" i="27" s="1"/>
  <c r="H84" i="6"/>
  <c r="J79" i="27" s="1"/>
  <c r="H85" i="6"/>
  <c r="J80" i="27" s="1"/>
  <c r="H87" i="6"/>
  <c r="J82" i="27" s="1"/>
  <c r="C132" i="5"/>
  <c r="E132" s="1"/>
  <c r="H90" i="6"/>
  <c r="J85" i="27" s="1"/>
  <c r="H92" i="6"/>
  <c r="J87" i="27" s="1"/>
  <c r="C139" i="5"/>
  <c r="H94" i="6"/>
  <c r="J89" i="27" s="1"/>
  <c r="C227" i="5"/>
  <c r="E227" s="1"/>
  <c r="D140"/>
  <c r="D50"/>
  <c r="E50" s="1"/>
  <c r="D52"/>
  <c r="E52" s="1"/>
  <c r="D139"/>
  <c r="C237"/>
  <c r="E237" s="1"/>
  <c r="D138"/>
  <c r="D290"/>
  <c r="E290" s="1"/>
  <c r="D261"/>
  <c r="E261" s="1"/>
  <c r="D322"/>
  <c r="E322" s="1"/>
  <c r="D265"/>
  <c r="E265" s="1"/>
  <c r="C10"/>
  <c r="E10" s="1"/>
  <c r="D278"/>
  <c r="E278" s="1"/>
  <c r="D280"/>
  <c r="E280" s="1"/>
  <c r="C84" i="6"/>
  <c r="E84" s="1"/>
  <c r="D78" i="27" s="1"/>
  <c r="C185" i="5"/>
  <c r="E185" s="1"/>
  <c r="C186"/>
  <c r="E186" s="1"/>
  <c r="C187"/>
  <c r="E187" s="1"/>
  <c r="D157"/>
  <c r="E157" s="1"/>
  <c r="C189"/>
  <c r="E189" s="1"/>
  <c r="C190"/>
  <c r="E190" s="1"/>
  <c r="C192"/>
  <c r="E192" s="1"/>
  <c r="C193"/>
  <c r="E193" s="1"/>
  <c r="C195"/>
  <c r="E195" s="1"/>
  <c r="C197"/>
  <c r="E197" s="1"/>
  <c r="C199"/>
  <c r="E199" s="1"/>
  <c r="C201"/>
  <c r="E201" s="1"/>
  <c r="C202"/>
  <c r="E202" s="1"/>
  <c r="C203"/>
  <c r="E203" s="1"/>
  <c r="C204"/>
  <c r="E204" s="1"/>
  <c r="C205"/>
  <c r="E205" s="1"/>
  <c r="C206"/>
  <c r="E206" s="1"/>
  <c r="C207"/>
  <c r="E207" s="1"/>
  <c r="C208"/>
  <c r="E208" s="1"/>
  <c r="C210"/>
  <c r="E210" s="1"/>
  <c r="C211"/>
  <c r="E211" s="1"/>
  <c r="C212"/>
  <c r="E212" s="1"/>
  <c r="C213"/>
  <c r="E213" s="1"/>
  <c r="C214"/>
  <c r="E214" s="1"/>
  <c r="C215"/>
  <c r="E215" s="1"/>
  <c r="C216"/>
  <c r="E216" s="1"/>
  <c r="C217"/>
  <c r="E217" s="1"/>
  <c r="C218"/>
  <c r="E218" s="1"/>
  <c r="C219"/>
  <c r="E219" s="1"/>
  <c r="C220"/>
  <c r="E220" s="1"/>
  <c r="C222"/>
  <c r="E222" s="1"/>
  <c r="C223"/>
  <c r="E223" s="1"/>
  <c r="C224"/>
  <c r="E224" s="1"/>
  <c r="C196"/>
  <c r="E196" s="1"/>
  <c r="C209"/>
  <c r="E209" s="1"/>
  <c r="D27"/>
  <c r="C27"/>
  <c r="C238"/>
  <c r="E238" s="1"/>
  <c r="D298"/>
  <c r="E298" s="1"/>
  <c r="C240"/>
  <c r="E240" s="1"/>
  <c r="C117"/>
  <c r="C120"/>
  <c r="E120" s="1"/>
  <c r="C119"/>
  <c r="D119"/>
  <c r="C148"/>
  <c r="C150"/>
  <c r="D148"/>
  <c r="C241"/>
  <c r="E241" s="1"/>
  <c r="D150"/>
  <c r="C102"/>
  <c r="C94"/>
  <c r="E94" s="1"/>
  <c r="C96"/>
  <c r="E96" s="1"/>
  <c r="C98"/>
  <c r="E98" s="1"/>
  <c r="C100"/>
  <c r="E100" s="1"/>
  <c r="C104"/>
  <c r="E104" s="1"/>
  <c r="C108"/>
  <c r="E108" s="1"/>
  <c r="C110"/>
  <c r="E110" s="1"/>
  <c r="C112"/>
  <c r="E112" s="1"/>
  <c r="C79"/>
  <c r="E79" s="1"/>
  <c r="C81"/>
  <c r="E81" s="1"/>
  <c r="C89"/>
  <c r="E89" s="1"/>
  <c r="C92"/>
  <c r="E92" s="1"/>
  <c r="D114"/>
  <c r="C103"/>
  <c r="E103" s="1"/>
  <c r="D102"/>
  <c r="C40"/>
  <c r="D308"/>
  <c r="E308" s="1"/>
  <c r="D38"/>
  <c r="C341"/>
  <c r="E341" s="1"/>
  <c r="D82"/>
  <c r="E82" s="1"/>
  <c r="D90"/>
  <c r="E90" s="1"/>
  <c r="D95"/>
  <c r="E95" s="1"/>
  <c r="D124"/>
  <c r="E124" s="1"/>
  <c r="C180"/>
  <c r="E180" s="1"/>
  <c r="D126"/>
  <c r="D285"/>
  <c r="E285" s="1"/>
  <c r="C181"/>
  <c r="E181" s="1"/>
  <c r="D129"/>
  <c r="C129"/>
  <c r="D286"/>
  <c r="E286" s="1"/>
  <c r="C182"/>
  <c r="E182" s="1"/>
  <c r="D127"/>
  <c r="C127"/>
  <c r="D287"/>
  <c r="E287" s="1"/>
  <c r="C183"/>
  <c r="E183" s="1"/>
  <c r="D128"/>
  <c r="D194"/>
  <c r="D306"/>
  <c r="E306" s="1"/>
  <c r="C295"/>
  <c r="C246"/>
  <c r="E246" s="1"/>
  <c r="A126" i="26"/>
  <c r="A127"/>
  <c r="A128"/>
  <c r="A129"/>
  <c r="A130"/>
  <c r="A131"/>
  <c r="D131"/>
  <c r="A132"/>
  <c r="A133"/>
  <c r="A134"/>
  <c r="A135"/>
  <c r="D125"/>
  <c r="A125"/>
  <c r="A137"/>
  <c r="A115"/>
  <c r="A116"/>
  <c r="A117"/>
  <c r="A118"/>
  <c r="A119"/>
  <c r="A120"/>
  <c r="A121"/>
  <c r="A122"/>
  <c r="D122"/>
  <c r="A114"/>
  <c r="D288" i="5" l="1"/>
  <c r="E288" s="1"/>
  <c r="D284"/>
  <c r="E284" s="1"/>
  <c r="C126"/>
  <c r="E126" s="1"/>
  <c r="D125"/>
  <c r="D304"/>
  <c r="E304" s="1"/>
  <c r="C123"/>
  <c r="E123" s="1"/>
  <c r="D259"/>
  <c r="E139"/>
  <c r="E127"/>
  <c r="E137"/>
  <c r="E102"/>
  <c r="D93"/>
  <c r="E93" s="1"/>
  <c r="C243"/>
  <c r="E243" s="1"/>
  <c r="C174"/>
  <c r="E174" s="1"/>
  <c r="C18" i="4" s="1"/>
  <c r="C172" i="5"/>
  <c r="E172" s="1"/>
  <c r="C16" i="4" s="1"/>
  <c r="C169" i="5"/>
  <c r="E169" s="1"/>
  <c r="C13" i="4" s="1"/>
  <c r="D295" i="5"/>
  <c r="E295" s="1"/>
  <c r="C158"/>
  <c r="E158" s="1"/>
  <c r="C128"/>
  <c r="E128" s="1"/>
  <c r="E129"/>
  <c r="C125"/>
  <c r="C179"/>
  <c r="E179" s="1"/>
  <c r="D91"/>
  <c r="C91"/>
  <c r="C114"/>
  <c r="E114" s="1"/>
  <c r="C106"/>
  <c r="E106" s="1"/>
  <c r="C334"/>
  <c r="E334" s="1"/>
  <c r="E148"/>
  <c r="D305"/>
  <c r="E305" s="1"/>
  <c r="D117"/>
  <c r="E117" s="1"/>
  <c r="C42"/>
  <c r="C239"/>
  <c r="E239" s="1"/>
  <c r="E27"/>
  <c r="C184"/>
  <c r="E184" s="1"/>
  <c r="C171"/>
  <c r="E171" s="1"/>
  <c r="C15" i="4" s="1"/>
  <c r="C166" i="5"/>
  <c r="E166" s="1"/>
  <c r="C10" i="4" s="1"/>
  <c r="D42" i="5"/>
  <c r="D51"/>
  <c r="E51" s="1"/>
  <c r="C140"/>
  <c r="E140" s="1"/>
  <c r="E259"/>
  <c r="C131"/>
  <c r="E131" s="1"/>
  <c r="D47"/>
  <c r="D318"/>
  <c r="C176"/>
  <c r="E176" s="1"/>
  <c r="D317"/>
  <c r="E317" s="1"/>
  <c r="C41"/>
  <c r="D41"/>
  <c r="C242"/>
  <c r="E242" s="1"/>
  <c r="D80"/>
  <c r="E80" s="1"/>
  <c r="D301"/>
  <c r="E301" s="1"/>
  <c r="C38"/>
  <c r="E38" s="1"/>
  <c r="H53" i="6" s="1"/>
  <c r="C245" i="5"/>
  <c r="E245" s="1"/>
  <c r="D40"/>
  <c r="C253"/>
  <c r="E253" s="1"/>
  <c r="C314"/>
  <c r="E314" s="1"/>
  <c r="D297"/>
  <c r="E297" s="1"/>
  <c r="C118"/>
  <c r="E118" s="1"/>
  <c r="C315"/>
  <c r="E315" s="1"/>
  <c r="C254"/>
  <c r="E254" s="1"/>
  <c r="D75"/>
  <c r="E75" s="1"/>
  <c r="H98" i="6" s="1"/>
  <c r="J93" i="27" s="1"/>
  <c r="E40" i="5"/>
  <c r="H55" i="6" s="1"/>
  <c r="D299" i="5"/>
  <c r="E299" s="1"/>
  <c r="E150"/>
  <c r="E119"/>
  <c r="C225"/>
  <c r="E225" s="1"/>
  <c r="C221"/>
  <c r="E221" s="1"/>
  <c r="C200"/>
  <c r="E200" s="1"/>
  <c r="C194"/>
  <c r="E194" s="1"/>
  <c r="C191"/>
  <c r="E191" s="1"/>
  <c r="C188"/>
  <c r="E188" s="1"/>
  <c r="C338"/>
  <c r="E338" s="1"/>
  <c r="C138"/>
  <c r="E138" s="1"/>
  <c r="C318"/>
  <c r="D276"/>
  <c r="E276" s="1"/>
  <c r="C47"/>
  <c r="D130"/>
  <c r="C153"/>
  <c r="D258"/>
  <c r="E258" s="1"/>
  <c r="C130"/>
  <c r="D153"/>
  <c r="C342"/>
  <c r="E342" s="1"/>
  <c r="K89" i="27"/>
  <c r="L89"/>
  <c r="K87"/>
  <c r="L87"/>
  <c r="L82"/>
  <c r="K82"/>
  <c r="K80"/>
  <c r="L80"/>
  <c r="L78"/>
  <c r="K78"/>
  <c r="B75" i="26"/>
  <c r="J46" i="27"/>
  <c r="K43"/>
  <c r="L43"/>
  <c r="K41"/>
  <c r="L41"/>
  <c r="K37"/>
  <c r="L37"/>
  <c r="K85"/>
  <c r="L85"/>
  <c r="K79"/>
  <c r="L79"/>
  <c r="K75"/>
  <c r="L75"/>
  <c r="B80" i="26"/>
  <c r="J51" i="27"/>
  <c r="B78" i="26"/>
  <c r="J49" i="27"/>
  <c r="B76" i="26"/>
  <c r="J47" i="27"/>
  <c r="K45"/>
  <c r="L45"/>
  <c r="K26"/>
  <c r="L26"/>
  <c r="K94"/>
  <c r="L94"/>
  <c r="B84" i="26"/>
  <c r="B74"/>
  <c r="D283" i="5"/>
  <c r="C8" i="6"/>
  <c r="H95"/>
  <c r="J90" i="27" s="1"/>
  <c r="H93" i="6"/>
  <c r="J88" i="27" s="1"/>
  <c r="H82" i="6"/>
  <c r="J77" i="27" s="1"/>
  <c r="H78" i="6"/>
  <c r="J73" i="27" s="1"/>
  <c r="H45" i="6"/>
  <c r="J42" i="27" s="1"/>
  <c r="C178" i="5"/>
  <c r="E178" s="1"/>
  <c r="H96" i="6"/>
  <c r="J91" i="27" s="1"/>
  <c r="H89" i="6"/>
  <c r="J84" i="27" s="1"/>
  <c r="H81" i="6"/>
  <c r="J76" i="27" s="1"/>
  <c r="H51" i="6"/>
  <c r="H77"/>
  <c r="J72" i="27" s="1"/>
  <c r="H86" i="6"/>
  <c r="J81" i="27" s="1"/>
  <c r="H88" i="6"/>
  <c r="J83" i="27" s="1"/>
  <c r="H41" i="6"/>
  <c r="J38" i="27" s="1"/>
  <c r="H32" i="6"/>
  <c r="J29" i="27" s="1"/>
  <c r="H43" i="6"/>
  <c r="J40" i="27" s="1"/>
  <c r="H31" i="6"/>
  <c r="H42"/>
  <c r="J39" i="27" s="1"/>
  <c r="C99" i="6"/>
  <c r="E99" s="1"/>
  <c r="D93" i="27" s="1"/>
  <c r="C98" i="6"/>
  <c r="E98" s="1"/>
  <c r="D92" i="27" s="1"/>
  <c r="F37" i="10"/>
  <c r="F38" s="1"/>
  <c r="G28"/>
  <c r="G30" s="1"/>
  <c r="G31" s="1"/>
  <c r="G37"/>
  <c r="G38" s="1"/>
  <c r="F53"/>
  <c r="F54" s="1"/>
  <c r="I37"/>
  <c r="G53"/>
  <c r="I53"/>
  <c r="F47"/>
  <c r="F48" s="1"/>
  <c r="G45"/>
  <c r="H37"/>
  <c r="J37"/>
  <c r="G54"/>
  <c r="H53"/>
  <c r="J53"/>
  <c r="A11"/>
  <c r="A19"/>
  <c r="A141" i="26"/>
  <c r="A142"/>
  <c r="A153"/>
  <c r="A157"/>
  <c r="A158"/>
  <c r="A144"/>
  <c r="D144"/>
  <c r="A145"/>
  <c r="A148"/>
  <c r="A150"/>
  <c r="A151"/>
  <c r="A152"/>
  <c r="A155"/>
  <c r="A156"/>
  <c r="A159"/>
  <c r="A160"/>
  <c r="A161"/>
  <c r="A162"/>
  <c r="A163"/>
  <c r="A164"/>
  <c r="A165"/>
  <c r="A166"/>
  <c r="A167"/>
  <c r="A139"/>
  <c r="C108"/>
  <c r="C106"/>
  <c r="C107"/>
  <c r="C109" s="1"/>
  <c r="C105"/>
  <c r="C101"/>
  <c r="C102"/>
  <c r="C100"/>
  <c r="C87"/>
  <c r="C75"/>
  <c r="D75" s="1"/>
  <c r="C76"/>
  <c r="C77"/>
  <c r="C78"/>
  <c r="C79"/>
  <c r="C80"/>
  <c r="C81"/>
  <c r="C74"/>
  <c r="C73" s="1"/>
  <c r="C72"/>
  <c r="C71"/>
  <c r="C70" s="1"/>
  <c r="C66"/>
  <c r="C67"/>
  <c r="C68"/>
  <c r="C65"/>
  <c r="C64" s="1"/>
  <c r="C59"/>
  <c r="C60"/>
  <c r="C61"/>
  <c r="C62"/>
  <c r="C63"/>
  <c r="C54"/>
  <c r="C53"/>
  <c r="C52"/>
  <c r="C51"/>
  <c r="C46"/>
  <c r="C47"/>
  <c r="C48"/>
  <c r="C49"/>
  <c r="C45"/>
  <c r="C41"/>
  <c r="C40"/>
  <c r="C39"/>
  <c r="C38"/>
  <c r="C37"/>
  <c r="C36"/>
  <c r="C32"/>
  <c r="C33"/>
  <c r="C34"/>
  <c r="C31"/>
  <c r="C27"/>
  <c r="C26"/>
  <c r="C25"/>
  <c r="B7" i="11"/>
  <c r="B15"/>
  <c r="H15"/>
  <c r="H22"/>
  <c r="H45" s="1"/>
  <c r="H47"/>
  <c r="B45"/>
  <c r="B44"/>
  <c r="B43"/>
  <c r="B41"/>
  <c r="F195" i="10"/>
  <c r="F196" s="1"/>
  <c r="F198" s="1"/>
  <c r="E125" i="5" l="1"/>
  <c r="E47"/>
  <c r="D80" i="26"/>
  <c r="D78"/>
  <c r="D76"/>
  <c r="E318" i="5"/>
  <c r="E41"/>
  <c r="H60" i="6" s="1"/>
  <c r="J55" i="27" s="1"/>
  <c r="E91" i="5"/>
  <c r="F93" i="27"/>
  <c r="E93"/>
  <c r="E130" i="5"/>
  <c r="E153"/>
  <c r="E42"/>
  <c r="H61" i="6" s="1"/>
  <c r="J56" i="27" s="1"/>
  <c r="B87" i="26"/>
  <c r="K77" i="27"/>
  <c r="L77"/>
  <c r="K90"/>
  <c r="L90"/>
  <c r="B86" i="26"/>
  <c r="D86" s="1"/>
  <c r="J36" i="27"/>
  <c r="D114" s="1"/>
  <c r="K40"/>
  <c r="L40"/>
  <c r="B81" i="26"/>
  <c r="D81" s="1"/>
  <c r="J52" i="27"/>
  <c r="B79" i="26"/>
  <c r="D79" s="1"/>
  <c r="J50" i="27"/>
  <c r="K81"/>
  <c r="L81"/>
  <c r="B91" i="26"/>
  <c r="K76" i="27"/>
  <c r="L76"/>
  <c r="K91"/>
  <c r="L91"/>
  <c r="B107" i="26"/>
  <c r="B109" s="1"/>
  <c r="K73" i="27"/>
  <c r="L73"/>
  <c r="B105" i="26"/>
  <c r="J86" i="27"/>
  <c r="D118" s="1"/>
  <c r="E92"/>
  <c r="F92"/>
  <c r="H30" i="6"/>
  <c r="J28" i="27"/>
  <c r="J27" s="1"/>
  <c r="K29"/>
  <c r="L29"/>
  <c r="L38"/>
  <c r="K38"/>
  <c r="K83"/>
  <c r="L83"/>
  <c r="K72"/>
  <c r="L72"/>
  <c r="B77" i="26"/>
  <c r="B73" s="1"/>
  <c r="J48" i="27"/>
  <c r="J44" s="1"/>
  <c r="D115" s="1"/>
  <c r="K84"/>
  <c r="L84"/>
  <c r="E283" i="5"/>
  <c r="D348"/>
  <c r="K47" i="27"/>
  <c r="L47"/>
  <c r="K49"/>
  <c r="L49"/>
  <c r="K51"/>
  <c r="L51"/>
  <c r="L46"/>
  <c r="K46"/>
  <c r="C83" i="26"/>
  <c r="C88"/>
  <c r="C58"/>
  <c r="C82" s="1"/>
  <c r="C99"/>
  <c r="D77"/>
  <c r="D87"/>
  <c r="H39" i="6"/>
  <c r="H47"/>
  <c r="B103" i="26"/>
  <c r="D103" s="1"/>
  <c r="H139" i="6"/>
  <c r="B85" i="26"/>
  <c r="B106"/>
  <c r="H91" i="6"/>
  <c r="C104" i="26"/>
  <c r="H54" i="10"/>
  <c r="I54" s="1"/>
  <c r="H28"/>
  <c r="I28" s="1"/>
  <c r="H38"/>
  <c r="I38" s="1"/>
  <c r="J38" s="1"/>
  <c r="G39" s="1"/>
  <c r="J39" s="1"/>
  <c r="G47"/>
  <c r="G48" s="1"/>
  <c r="H45"/>
  <c r="J54"/>
  <c r="G55" s="1"/>
  <c r="J55" s="1"/>
  <c r="F56" s="1"/>
  <c r="C35" i="26"/>
  <c r="C30"/>
  <c r="C44"/>
  <c r="C50"/>
  <c r="C24"/>
  <c r="B37" i="11"/>
  <c r="B8"/>
  <c r="H35"/>
  <c r="F44" s="1"/>
  <c r="G35"/>
  <c r="F43" s="1"/>
  <c r="F35"/>
  <c r="F42" s="1"/>
  <c r="E35"/>
  <c r="F41" s="1"/>
  <c r="H28"/>
  <c r="H27"/>
  <c r="H24"/>
  <c r="H46" s="1"/>
  <c r="H23"/>
  <c r="B46" s="1"/>
  <c r="H21"/>
  <c r="E26" s="1"/>
  <c r="H17"/>
  <c r="H36" s="1"/>
  <c r="G17"/>
  <c r="G19" s="1"/>
  <c r="F17"/>
  <c r="F36" s="1"/>
  <c r="E17"/>
  <c r="E19" s="1"/>
  <c r="H16"/>
  <c r="B42"/>
  <c r="H6"/>
  <c r="G6"/>
  <c r="F6"/>
  <c r="E6"/>
  <c r="H55"/>
  <c r="H61"/>
  <c r="G64"/>
  <c r="H65" s="1"/>
  <c r="K187" i="10"/>
  <c r="J183"/>
  <c r="J184" s="1"/>
  <c r="J182"/>
  <c r="F187"/>
  <c r="C187"/>
  <c r="L170"/>
  <c r="D176" s="1"/>
  <c r="I170"/>
  <c r="D170"/>
  <c r="C170"/>
  <c r="B170"/>
  <c r="K169"/>
  <c r="H169"/>
  <c r="E169"/>
  <c r="K168"/>
  <c r="H168"/>
  <c r="E168"/>
  <c r="K167"/>
  <c r="H167"/>
  <c r="H170" s="1"/>
  <c r="D174" s="1"/>
  <c r="E167"/>
  <c r="E160"/>
  <c r="J160" s="1"/>
  <c r="A161" s="1"/>
  <c r="J157"/>
  <c r="A158" s="1"/>
  <c r="D145"/>
  <c r="E143"/>
  <c r="B143"/>
  <c r="E142"/>
  <c r="B142"/>
  <c r="J141"/>
  <c r="J138"/>
  <c r="E132"/>
  <c r="F128"/>
  <c r="F127"/>
  <c r="D122"/>
  <c r="F122" s="1"/>
  <c r="C122"/>
  <c r="D121"/>
  <c r="F121" s="1"/>
  <c r="C121"/>
  <c r="D120"/>
  <c r="F120" s="1"/>
  <c r="C120"/>
  <c r="D119"/>
  <c r="F119" s="1"/>
  <c r="C119"/>
  <c r="D118"/>
  <c r="F118" s="1"/>
  <c r="C118"/>
  <c r="C123" s="1"/>
  <c r="D127" s="1"/>
  <c r="J127" s="1"/>
  <c r="E99"/>
  <c r="D99"/>
  <c r="C99"/>
  <c r="B99"/>
  <c r="J98"/>
  <c r="J97"/>
  <c r="J96"/>
  <c r="J95"/>
  <c r="J94"/>
  <c r="C83"/>
  <c r="D82"/>
  <c r="C82"/>
  <c r="I76"/>
  <c r="H76"/>
  <c r="G76"/>
  <c r="D76"/>
  <c r="I75"/>
  <c r="H75"/>
  <c r="G75"/>
  <c r="D75"/>
  <c r="I74"/>
  <c r="H74"/>
  <c r="G74"/>
  <c r="D74"/>
  <c r="I73"/>
  <c r="H73"/>
  <c r="G73"/>
  <c r="D73"/>
  <c r="I72"/>
  <c r="H72"/>
  <c r="H71"/>
  <c r="H70"/>
  <c r="H69"/>
  <c r="I68"/>
  <c r="H68"/>
  <c r="A78"/>
  <c r="A77"/>
  <c r="B104" i="26" l="1"/>
  <c r="H109" i="6"/>
  <c r="B72" i="26"/>
  <c r="K55" i="27"/>
  <c r="L55"/>
  <c r="K48"/>
  <c r="L48"/>
  <c r="L28"/>
  <c r="K28"/>
  <c r="K88"/>
  <c r="L88"/>
  <c r="K93"/>
  <c r="L93"/>
  <c r="L56"/>
  <c r="K56"/>
  <c r="L50"/>
  <c r="K50"/>
  <c r="K52"/>
  <c r="L52"/>
  <c r="K39"/>
  <c r="L39"/>
  <c r="L42"/>
  <c r="K42"/>
  <c r="C110" i="26"/>
  <c r="H118" i="6"/>
  <c r="H119" s="1"/>
  <c r="G127" s="1"/>
  <c r="H57"/>
  <c r="H137"/>
  <c r="B88" i="26"/>
  <c r="D85"/>
  <c r="B83"/>
  <c r="H140" i="6"/>
  <c r="H156" s="1"/>
  <c r="B90" i="26"/>
  <c r="D84"/>
  <c r="H30" i="10"/>
  <c r="H31" s="1"/>
  <c r="F38" i="11"/>
  <c r="F123" i="10"/>
  <c r="F188"/>
  <c r="J185" s="1"/>
  <c r="H38" i="11"/>
  <c r="C42" i="26"/>
  <c r="J72" i="10"/>
  <c r="J74"/>
  <c r="J76"/>
  <c r="A85"/>
  <c r="J122"/>
  <c r="E170"/>
  <c r="D172" s="1"/>
  <c r="K170"/>
  <c r="D175" s="1"/>
  <c r="C188"/>
  <c r="J186" s="1"/>
  <c r="F40"/>
  <c r="H47"/>
  <c r="H48" s="1"/>
  <c r="I45"/>
  <c r="I30"/>
  <c r="I31" s="1"/>
  <c r="J28"/>
  <c r="J30" s="1"/>
  <c r="C55" i="26"/>
  <c r="H31" i="11"/>
  <c r="B6"/>
  <c r="G84" i="10"/>
  <c r="C84"/>
  <c r="H84"/>
  <c r="D84"/>
  <c r="B17" i="11"/>
  <c r="E18" s="1"/>
  <c r="B48"/>
  <c r="H42"/>
  <c r="F19"/>
  <c r="H19"/>
  <c r="E29"/>
  <c r="E31" s="1"/>
  <c r="E36"/>
  <c r="H41" s="1"/>
  <c r="G36"/>
  <c r="F18"/>
  <c r="G67"/>
  <c r="H68" s="1"/>
  <c r="J119" i="10"/>
  <c r="J120"/>
  <c r="J121"/>
  <c r="C101"/>
  <c r="C104" s="1"/>
  <c r="L184"/>
  <c r="F170"/>
  <c r="D173" s="1"/>
  <c r="J73"/>
  <c r="J75"/>
  <c r="B144"/>
  <c r="E144" s="1"/>
  <c r="E101"/>
  <c r="E104" s="1"/>
  <c r="E118"/>
  <c r="J118"/>
  <c r="E120"/>
  <c r="E122"/>
  <c r="D123"/>
  <c r="D128" s="1"/>
  <c r="J128" s="1"/>
  <c r="D130" s="1"/>
  <c r="E119"/>
  <c r="E121"/>
  <c r="J99"/>
  <c r="D100" s="1"/>
  <c r="D103" s="1"/>
  <c r="B101"/>
  <c r="D101"/>
  <c r="D104" s="1"/>
  <c r="J68"/>
  <c r="A79" s="1"/>
  <c r="G82"/>
  <c r="H82"/>
  <c r="D88" i="26" l="1"/>
  <c r="C111"/>
  <c r="C4" s="1"/>
  <c r="J123" i="10"/>
  <c r="L188"/>
  <c r="H18" i="11"/>
  <c r="I47" i="10"/>
  <c r="I48" s="1"/>
  <c r="J45"/>
  <c r="J47" s="1"/>
  <c r="J31"/>
  <c r="E32" s="1"/>
  <c r="G31" i="11"/>
  <c r="H33" s="1"/>
  <c r="G18"/>
  <c r="B19"/>
  <c r="E100" i="10"/>
  <c r="E103" s="1"/>
  <c r="A111" s="1"/>
  <c r="C100"/>
  <c r="C103" s="1"/>
  <c r="A109" s="1"/>
  <c r="L176"/>
  <c r="L178" s="1"/>
  <c r="E38" i="11"/>
  <c r="G38"/>
  <c r="H44"/>
  <c r="B36"/>
  <c r="H43"/>
  <c r="J145" i="10"/>
  <c r="J139" s="1"/>
  <c r="E139" s="1"/>
  <c r="A87"/>
  <c r="E123"/>
  <c r="F129" s="1"/>
  <c r="D129"/>
  <c r="A110"/>
  <c r="C105"/>
  <c r="J105"/>
  <c r="B104"/>
  <c r="J104" s="1"/>
  <c r="J101"/>
  <c r="B100"/>
  <c r="A86"/>
  <c r="G328" i="22"/>
  <c r="H329" s="1"/>
  <c r="C329"/>
  <c r="B329"/>
  <c r="B328"/>
  <c r="A328"/>
  <c r="G318"/>
  <c r="G325" s="1"/>
  <c r="H326" s="1"/>
  <c r="C326"/>
  <c r="B326"/>
  <c r="B325"/>
  <c r="A325"/>
  <c r="G322"/>
  <c r="E64" i="3"/>
  <c r="C58" i="27" s="1"/>
  <c r="D32" i="4"/>
  <c r="E32"/>
  <c r="B38" i="11" l="1"/>
  <c r="J48" i="10"/>
  <c r="E49" s="1"/>
  <c r="E50" s="1"/>
  <c r="F58"/>
  <c r="E34"/>
  <c r="I70"/>
  <c r="J70" s="1"/>
  <c r="I71"/>
  <c r="J71" s="1"/>
  <c r="D83"/>
  <c r="I69"/>
  <c r="J69" s="1"/>
  <c r="H48" i="11"/>
  <c r="H49" s="1"/>
  <c r="H37"/>
  <c r="F37"/>
  <c r="G37"/>
  <c r="E37"/>
  <c r="A146" i="10"/>
  <c r="J129"/>
  <c r="D131" s="1"/>
  <c r="D132" s="1"/>
  <c r="B103"/>
  <c r="J100"/>
  <c r="H323" i="22"/>
  <c r="A62" i="10" l="1"/>
  <c r="F59"/>
  <c r="F60" s="1"/>
  <c r="F130"/>
  <c r="J130" s="1"/>
  <c r="J131" s="1"/>
  <c r="F132" s="1"/>
  <c r="J132" s="1"/>
  <c r="J147" s="1"/>
  <c r="A108"/>
  <c r="J103"/>
  <c r="C38" i="21"/>
  <c r="B38"/>
  <c r="H44"/>
  <c r="H45"/>
  <c r="H43"/>
  <c r="H33"/>
  <c r="H34"/>
  <c r="H32"/>
  <c r="G27"/>
  <c r="F14"/>
  <c r="F10"/>
  <c r="F15" s="1"/>
  <c r="D10"/>
  <c r="H9"/>
  <c r="G17" s="1"/>
  <c r="H8"/>
  <c r="G18" s="1"/>
  <c r="H7"/>
  <c r="G16" s="1"/>
  <c r="F159" i="4"/>
  <c r="D155" i="26" s="1"/>
  <c r="A133" i="10" l="1"/>
  <c r="C125"/>
  <c r="H10" i="21"/>
  <c r="D11"/>
  <c r="G19" s="1"/>
  <c r="G20" s="1"/>
  <c r="F20"/>
  <c r="J37" i="13" l="1"/>
  <c r="D281" i="24"/>
  <c r="I20" i="13"/>
  <c r="H19"/>
  <c r="G19"/>
  <c r="H20"/>
  <c r="H6" i="19"/>
  <c r="G5" s="1"/>
  <c r="G11" i="20"/>
  <c r="H12" s="1"/>
  <c r="G6"/>
  <c r="H7" s="1"/>
  <c r="H12" i="19"/>
  <c r="G11" s="1"/>
  <c r="H371" i="22"/>
  <c r="G364"/>
  <c r="H365" s="1"/>
  <c r="G341"/>
  <c r="G409"/>
  <c r="H410" s="1"/>
  <c r="G398"/>
  <c r="H399" s="1"/>
  <c r="G387"/>
  <c r="H388" s="1"/>
  <c r="E371"/>
  <c r="H370"/>
  <c r="G353"/>
  <c r="H354" s="1"/>
  <c r="H342"/>
  <c r="G376" l="1"/>
  <c r="H377" s="1"/>
  <c r="C12" i="9"/>
  <c r="C13"/>
  <c r="B313" i="22"/>
  <c r="C314"/>
  <c r="B314"/>
  <c r="A313"/>
  <c r="G307"/>
  <c r="G313" s="1"/>
  <c r="H314" s="1"/>
  <c r="A307"/>
  <c r="D30" i="4"/>
  <c r="E30"/>
  <c r="D31"/>
  <c r="E31"/>
  <c r="B254" i="22"/>
  <c r="B257" s="1"/>
  <c r="C261" s="1"/>
  <c r="A254"/>
  <c r="A257" s="1"/>
  <c r="B261" s="1"/>
  <c r="C255"/>
  <c r="C258" s="1"/>
  <c r="B260" s="1"/>
  <c r="B255"/>
  <c r="B258" s="1"/>
  <c r="A260" s="1"/>
  <c r="C275"/>
  <c r="C278" s="1"/>
  <c r="B280" s="1"/>
  <c r="B292"/>
  <c r="C296" s="1"/>
  <c r="C299" s="1"/>
  <c r="B301" s="1"/>
  <c r="A292"/>
  <c r="B296" s="1"/>
  <c r="B299" s="1"/>
  <c r="A301" s="1"/>
  <c r="B275"/>
  <c r="B278" s="1"/>
  <c r="A280" s="1"/>
  <c r="G295"/>
  <c r="H296" s="1"/>
  <c r="B295"/>
  <c r="B298" s="1"/>
  <c r="C302" s="1"/>
  <c r="A295"/>
  <c r="A298" s="1"/>
  <c r="B302" s="1"/>
  <c r="G289"/>
  <c r="H293" s="1"/>
  <c r="G292" s="1"/>
  <c r="G287"/>
  <c r="G301" s="1"/>
  <c r="H302" s="1"/>
  <c r="A287"/>
  <c r="B274"/>
  <c r="B277" s="1"/>
  <c r="C281" s="1"/>
  <c r="A274"/>
  <c r="A277" s="1"/>
  <c r="B281" s="1"/>
  <c r="G274"/>
  <c r="H275" s="1"/>
  <c r="G268"/>
  <c r="H269" s="1"/>
  <c r="G266"/>
  <c r="G280" s="1"/>
  <c r="H281" s="1"/>
  <c r="A266"/>
  <c r="G254"/>
  <c r="H255" s="1"/>
  <c r="G248"/>
  <c r="H252" s="1"/>
  <c r="G251" s="1"/>
  <c r="G260"/>
  <c r="H261" s="1"/>
  <c r="G310" l="1"/>
  <c r="H311" s="1"/>
  <c r="H258"/>
  <c r="H272"/>
  <c r="G271" s="1"/>
  <c r="H290"/>
  <c r="G298"/>
  <c r="H299" s="1"/>
  <c r="G277"/>
  <c r="H278" s="1"/>
  <c r="H249"/>
  <c r="G332" i="24" l="1"/>
  <c r="H333" s="1"/>
  <c r="G329"/>
  <c r="G328"/>
  <c r="G327"/>
  <c r="G326"/>
  <c r="C23" i="4"/>
  <c r="G22" i="24"/>
  <c r="E75" i="3"/>
  <c r="C69" i="27" s="1"/>
  <c r="E76" i="3"/>
  <c r="C70" i="27" s="1"/>
  <c r="E77" i="3"/>
  <c r="C71" i="27" s="1"/>
  <c r="E78" i="3"/>
  <c r="C72" i="27" s="1"/>
  <c r="E79" i="3"/>
  <c r="C73" i="27" s="1"/>
  <c r="E80" i="3"/>
  <c r="C74" i="27" s="1"/>
  <c r="E81" i="3"/>
  <c r="C75" i="27" s="1"/>
  <c r="E82" i="3"/>
  <c r="C76" i="27" s="1"/>
  <c r="E83" i="3"/>
  <c r="C77" i="27" s="1"/>
  <c r="E74" i="3"/>
  <c r="C68" i="27" s="1"/>
  <c r="C24" i="4"/>
  <c r="G7" i="2"/>
  <c r="C163" i="5" s="1"/>
  <c r="E163" s="1"/>
  <c r="B369"/>
  <c r="C26" i="7" s="1"/>
  <c r="B370" i="5"/>
  <c r="C27" i="7" s="1"/>
  <c r="B371" i="5"/>
  <c r="C28" i="7" s="1"/>
  <c r="B354" i="5"/>
  <c r="B355"/>
  <c r="B357"/>
  <c r="B358"/>
  <c r="B359"/>
  <c r="D360"/>
  <c r="B361"/>
  <c r="B362"/>
  <c r="B363"/>
  <c r="B365"/>
  <c r="B366"/>
  <c r="B367"/>
  <c r="B373"/>
  <c r="C31" i="7" s="1"/>
  <c r="B374" i="5"/>
  <c r="C32" i="7" s="1"/>
  <c r="B375" i="5"/>
  <c r="C33" i="7" s="1"/>
  <c r="B377" i="5"/>
  <c r="C35" i="7" s="1"/>
  <c r="B378" i="5"/>
  <c r="C36" i="7" s="1"/>
  <c r="B379" i="5"/>
  <c r="C37" i="7" s="1"/>
  <c r="B385" i="5"/>
  <c r="B386"/>
  <c r="E355" i="24"/>
  <c r="D355"/>
  <c r="B355"/>
  <c r="A355"/>
  <c r="E347"/>
  <c r="D347"/>
  <c r="B347"/>
  <c r="A347"/>
  <c r="B315"/>
  <c r="A315"/>
  <c r="E340"/>
  <c r="D340"/>
  <c r="B340"/>
  <c r="A340"/>
  <c r="E315"/>
  <c r="D315"/>
  <c r="E309"/>
  <c r="D309"/>
  <c r="B309"/>
  <c r="A309"/>
  <c r="B296"/>
  <c r="B297"/>
  <c r="A297"/>
  <c r="E296"/>
  <c r="E297" s="1"/>
  <c r="D296"/>
  <c r="D297" s="1"/>
  <c r="A296"/>
  <c r="B287"/>
  <c r="A287"/>
  <c r="E287"/>
  <c r="D287"/>
  <c r="E273"/>
  <c r="D273"/>
  <c r="B273"/>
  <c r="A273"/>
  <c r="B272"/>
  <c r="A272"/>
  <c r="E272"/>
  <c r="D272"/>
  <c r="B260"/>
  <c r="A260"/>
  <c r="E260"/>
  <c r="D260"/>
  <c r="E248"/>
  <c r="D248"/>
  <c r="B248"/>
  <c r="A248"/>
  <c r="E234"/>
  <c r="D234"/>
  <c r="B234"/>
  <c r="A234"/>
  <c r="B213"/>
  <c r="B214"/>
  <c r="B215"/>
  <c r="A215"/>
  <c r="A214"/>
  <c r="A213"/>
  <c r="E213"/>
  <c r="E214" s="1"/>
  <c r="E215" s="1"/>
  <c r="B217" s="1"/>
  <c r="D213"/>
  <c r="D214" s="1"/>
  <c r="D215" s="1"/>
  <c r="A217" s="1"/>
  <c r="D181"/>
  <c r="G187" s="1"/>
  <c r="B191"/>
  <c r="B192"/>
  <c r="A192"/>
  <c r="B190"/>
  <c r="A191"/>
  <c r="A190"/>
  <c r="E190"/>
  <c r="E191" s="1"/>
  <c r="E192" s="1"/>
  <c r="D190"/>
  <c r="D191" s="1"/>
  <c r="D192" s="1"/>
  <c r="E171"/>
  <c r="B173" s="1"/>
  <c r="B174" s="1"/>
  <c r="D171"/>
  <c r="A173" s="1"/>
  <c r="A174" s="1"/>
  <c r="B171"/>
  <c r="A171"/>
  <c r="E152"/>
  <c r="E173" s="1"/>
  <c r="D152"/>
  <c r="D173" s="1"/>
  <c r="H152"/>
  <c r="B152"/>
  <c r="E174" s="1"/>
  <c r="A152"/>
  <c r="D174" s="1"/>
  <c r="E144"/>
  <c r="D144"/>
  <c r="B144"/>
  <c r="A144"/>
  <c r="E134"/>
  <c r="D134"/>
  <c r="B135"/>
  <c r="A135"/>
  <c r="E135"/>
  <c r="D135"/>
  <c r="B134"/>
  <c r="A134"/>
  <c r="E126"/>
  <c r="E127"/>
  <c r="D127"/>
  <c r="D126"/>
  <c r="B126"/>
  <c r="B127" s="1"/>
  <c r="A126"/>
  <c r="A127" s="1"/>
  <c r="B114"/>
  <c r="A114"/>
  <c r="E113"/>
  <c r="E114" s="1"/>
  <c r="D113"/>
  <c r="D114" s="1"/>
  <c r="B113"/>
  <c r="A113"/>
  <c r="E97"/>
  <c r="D97"/>
  <c r="B97"/>
  <c r="A97"/>
  <c r="E87"/>
  <c r="D87"/>
  <c r="B87"/>
  <c r="A87"/>
  <c r="E80"/>
  <c r="E81" s="1"/>
  <c r="D80"/>
  <c r="D81" s="1"/>
  <c r="B81"/>
  <c r="A81"/>
  <c r="B80"/>
  <c r="A80"/>
  <c r="B66"/>
  <c r="A66"/>
  <c r="E65"/>
  <c r="D65"/>
  <c r="E66"/>
  <c r="D66"/>
  <c r="B65"/>
  <c r="A65"/>
  <c r="E48"/>
  <c r="E47"/>
  <c r="D48"/>
  <c r="D47"/>
  <c r="B48"/>
  <c r="B47"/>
  <c r="A47"/>
  <c r="A48"/>
  <c r="E35"/>
  <c r="E36"/>
  <c r="D36"/>
  <c r="D35"/>
  <c r="B35"/>
  <c r="B36" s="1"/>
  <c r="A35"/>
  <c r="A36" s="1"/>
  <c r="B27"/>
  <c r="A27"/>
  <c r="E26"/>
  <c r="E27" s="1"/>
  <c r="D26"/>
  <c r="D27" s="1"/>
  <c r="B26"/>
  <c r="A26"/>
  <c r="B14"/>
  <c r="A14"/>
  <c r="E13"/>
  <c r="E14" s="1"/>
  <c r="D13"/>
  <c r="D14" s="1"/>
  <c r="B13"/>
  <c r="A13"/>
  <c r="B91" i="23"/>
  <c r="B92"/>
  <c r="A92"/>
  <c r="H91"/>
  <c r="A91"/>
  <c r="E84"/>
  <c r="D84"/>
  <c r="B84"/>
  <c r="A84"/>
  <c r="E71"/>
  <c r="D71"/>
  <c r="B71"/>
  <c r="A71"/>
  <c r="E112"/>
  <c r="D112"/>
  <c r="B112"/>
  <c r="A112"/>
  <c r="E106"/>
  <c r="D106"/>
  <c r="B106"/>
  <c r="A106"/>
  <c r="E98"/>
  <c r="D98"/>
  <c r="B98"/>
  <c r="A98"/>
  <c r="E91"/>
  <c r="E92" s="1"/>
  <c r="D91"/>
  <c r="D92" s="1"/>
  <c r="E77"/>
  <c r="D77"/>
  <c r="B77"/>
  <c r="A77"/>
  <c r="E64"/>
  <c r="D64"/>
  <c r="B64"/>
  <c r="A64"/>
  <c r="E58"/>
  <c r="D58"/>
  <c r="B58"/>
  <c r="A58"/>
  <c r="E51"/>
  <c r="D51"/>
  <c r="B51"/>
  <c r="A51"/>
  <c r="E44"/>
  <c r="D44"/>
  <c r="B44"/>
  <c r="A44"/>
  <c r="E37"/>
  <c r="D37"/>
  <c r="B37"/>
  <c r="A37"/>
  <c r="E30"/>
  <c r="D30"/>
  <c r="B30"/>
  <c r="A30"/>
  <c r="H23"/>
  <c r="E23"/>
  <c r="D23"/>
  <c r="B23"/>
  <c r="A23"/>
  <c r="H15"/>
  <c r="H16"/>
  <c r="B15"/>
  <c r="B16"/>
  <c r="A16"/>
  <c r="A15"/>
  <c r="E15"/>
  <c r="E16" s="1"/>
  <c r="D15"/>
  <c r="D16" s="1"/>
  <c r="H7"/>
  <c r="E7"/>
  <c r="D7"/>
  <c r="B7"/>
  <c r="A7"/>
  <c r="E186" i="22"/>
  <c r="D186"/>
  <c r="B186"/>
  <c r="A186"/>
  <c r="E185"/>
  <c r="D185"/>
  <c r="B185"/>
  <c r="A185"/>
  <c r="E146"/>
  <c r="D146"/>
  <c r="B146"/>
  <c r="A146"/>
  <c r="E145"/>
  <c r="D145"/>
  <c r="B145"/>
  <c r="A145"/>
  <c r="E167"/>
  <c r="D167"/>
  <c r="B168"/>
  <c r="A168"/>
  <c r="B167"/>
  <c r="E168" s="1"/>
  <c r="A167"/>
  <c r="D168" s="1"/>
  <c r="E158"/>
  <c r="D158"/>
  <c r="B158"/>
  <c r="A158"/>
  <c r="E177"/>
  <c r="D177"/>
  <c r="E176"/>
  <c r="D176"/>
  <c r="B176"/>
  <c r="B177" s="1"/>
  <c r="A176"/>
  <c r="A177" s="1"/>
  <c r="E136"/>
  <c r="D136"/>
  <c r="E135"/>
  <c r="D135"/>
  <c r="B135"/>
  <c r="B136" s="1"/>
  <c r="A135"/>
  <c r="A136" s="1"/>
  <c r="E65"/>
  <c r="D65"/>
  <c r="B65"/>
  <c r="A65"/>
  <c r="E64"/>
  <c r="D64"/>
  <c r="B64"/>
  <c r="A64"/>
  <c r="E56"/>
  <c r="D56"/>
  <c r="E55"/>
  <c r="D55"/>
  <c r="B55"/>
  <c r="B56" s="1"/>
  <c r="A55"/>
  <c r="A56" s="1"/>
  <c r="E47"/>
  <c r="D47"/>
  <c r="B46"/>
  <c r="B47" s="1"/>
  <c r="A46"/>
  <c r="A47" s="1"/>
  <c r="E38"/>
  <c r="E46" s="1"/>
  <c r="D38"/>
  <c r="D46" s="1"/>
  <c r="B38"/>
  <c r="A38"/>
  <c r="B28"/>
  <c r="A28"/>
  <c r="E27"/>
  <c r="D27"/>
  <c r="E28"/>
  <c r="D28"/>
  <c r="B27"/>
  <c r="A27"/>
  <c r="E19"/>
  <c r="D19"/>
  <c r="E18"/>
  <c r="D18"/>
  <c r="B18"/>
  <c r="B19" s="1"/>
  <c r="A18"/>
  <c r="A19" s="1"/>
  <c r="E10"/>
  <c r="D10"/>
  <c r="B10"/>
  <c r="A10"/>
  <c r="B175" i="19"/>
  <c r="A175"/>
  <c r="E175"/>
  <c r="D175"/>
  <c r="B167"/>
  <c r="A167"/>
  <c r="E167"/>
  <c r="D167"/>
  <c r="E160"/>
  <c r="D160"/>
  <c r="B160"/>
  <c r="A160"/>
  <c r="E152"/>
  <c r="D152"/>
  <c r="B152"/>
  <c r="A152"/>
  <c r="G143"/>
  <c r="B146"/>
  <c r="A146"/>
  <c r="E146"/>
  <c r="D146"/>
  <c r="E137"/>
  <c r="D137"/>
  <c r="B137"/>
  <c r="A137"/>
  <c r="D128"/>
  <c r="E129"/>
  <c r="D129"/>
  <c r="E128"/>
  <c r="B128"/>
  <c r="B129" s="1"/>
  <c r="A128"/>
  <c r="A129" s="1"/>
  <c r="E120"/>
  <c r="D120"/>
  <c r="B120"/>
  <c r="A120"/>
  <c r="E114"/>
  <c r="D114"/>
  <c r="H112"/>
  <c r="E112"/>
  <c r="F112"/>
  <c r="D112"/>
  <c r="H111"/>
  <c r="H107"/>
  <c r="G106" s="1"/>
  <c r="H114" s="1"/>
  <c r="E111"/>
  <c r="D111"/>
  <c r="B111"/>
  <c r="B112" s="1"/>
  <c r="A111"/>
  <c r="A112" s="1"/>
  <c r="B102"/>
  <c r="A102"/>
  <c r="E102"/>
  <c r="D102"/>
  <c r="E96"/>
  <c r="D96"/>
  <c r="B96"/>
  <c r="A96"/>
  <c r="B88"/>
  <c r="A88"/>
  <c r="E87"/>
  <c r="D87"/>
  <c r="D88" s="1"/>
  <c r="E88"/>
  <c r="B87"/>
  <c r="A87"/>
  <c r="E80"/>
  <c r="D80"/>
  <c r="B80"/>
  <c r="A80"/>
  <c r="E66"/>
  <c r="D66"/>
  <c r="B66"/>
  <c r="A66"/>
  <c r="D56"/>
  <c r="B56"/>
  <c r="E58" s="1"/>
  <c r="A56"/>
  <c r="D58" s="1"/>
  <c r="E56"/>
  <c r="E46"/>
  <c r="D46"/>
  <c r="B46"/>
  <c r="E48" s="1"/>
  <c r="A46"/>
  <c r="D48" s="1"/>
  <c r="H38"/>
  <c r="H37"/>
  <c r="E37"/>
  <c r="D37"/>
  <c r="B37"/>
  <c r="A37"/>
  <c r="E38"/>
  <c r="D38"/>
  <c r="B38"/>
  <c r="E40" s="1"/>
  <c r="A38"/>
  <c r="D40" s="1"/>
  <c r="H33"/>
  <c r="G32" s="1"/>
  <c r="H40" s="1"/>
  <c r="H26"/>
  <c r="E26"/>
  <c r="D26"/>
  <c r="B26"/>
  <c r="E28" s="1"/>
  <c r="E29" s="1"/>
  <c r="A26"/>
  <c r="D28" s="1"/>
  <c r="D29" s="1"/>
  <c r="H25"/>
  <c r="H29" s="1"/>
  <c r="E25"/>
  <c r="B29" s="1"/>
  <c r="D25"/>
  <c r="A29" s="1"/>
  <c r="B25"/>
  <c r="B28" s="1"/>
  <c r="A25"/>
  <c r="A28" s="1"/>
  <c r="B222" i="20"/>
  <c r="A222"/>
  <c r="E222"/>
  <c r="D222"/>
  <c r="B214"/>
  <c r="A214"/>
  <c r="E213"/>
  <c r="E214" s="1"/>
  <c r="D213"/>
  <c r="D214" s="1"/>
  <c r="B213"/>
  <c r="A213"/>
  <c r="B205"/>
  <c r="A205"/>
  <c r="E205"/>
  <c r="D205"/>
  <c r="H196"/>
  <c r="B196"/>
  <c r="A196"/>
  <c r="H195"/>
  <c r="B195"/>
  <c r="A195"/>
  <c r="E195"/>
  <c r="B198" s="1"/>
  <c r="D195"/>
  <c r="D196" s="1"/>
  <c r="E184"/>
  <c r="B186" s="1"/>
  <c r="D184"/>
  <c r="A186" s="1"/>
  <c r="B184"/>
  <c r="A184"/>
  <c r="E174"/>
  <c r="B176" s="1"/>
  <c r="D174"/>
  <c r="A176" s="1"/>
  <c r="B174"/>
  <c r="A174"/>
  <c r="E164"/>
  <c r="B166" s="1"/>
  <c r="D164"/>
  <c r="A166" s="1"/>
  <c r="B164"/>
  <c r="A164"/>
  <c r="E154"/>
  <c r="B156" s="1"/>
  <c r="F154"/>
  <c r="D154"/>
  <c r="A156" s="1"/>
  <c r="B154"/>
  <c r="A154"/>
  <c r="G146"/>
  <c r="H147" s="1"/>
  <c r="H139"/>
  <c r="E139"/>
  <c r="D139"/>
  <c r="B139"/>
  <c r="A139"/>
  <c r="H138"/>
  <c r="B138"/>
  <c r="A138"/>
  <c r="B141"/>
  <c r="A141"/>
  <c r="E138"/>
  <c r="D138"/>
  <c r="B130"/>
  <c r="A130"/>
  <c r="B128"/>
  <c r="A128"/>
  <c r="B121"/>
  <c r="A121"/>
  <c r="E128"/>
  <c r="D128"/>
  <c r="E119"/>
  <c r="D119"/>
  <c r="B119"/>
  <c r="A119"/>
  <c r="E111"/>
  <c r="D111"/>
  <c r="B111"/>
  <c r="A111"/>
  <c r="E103"/>
  <c r="D103"/>
  <c r="B103"/>
  <c r="A103"/>
  <c r="H95"/>
  <c r="E95"/>
  <c r="D95"/>
  <c r="B95"/>
  <c r="A95"/>
  <c r="B86"/>
  <c r="A86"/>
  <c r="H84"/>
  <c r="E84"/>
  <c r="D84"/>
  <c r="B84"/>
  <c r="A84"/>
  <c r="E83"/>
  <c r="D83"/>
  <c r="B83"/>
  <c r="E87" s="1"/>
  <c r="A83"/>
  <c r="D87" s="1"/>
  <c r="B87"/>
  <c r="A87"/>
  <c r="H69"/>
  <c r="E69"/>
  <c r="A69"/>
  <c r="B71"/>
  <c r="D69"/>
  <c r="A71" s="1"/>
  <c r="B69"/>
  <c r="H62"/>
  <c r="E62"/>
  <c r="F62"/>
  <c r="B62"/>
  <c r="A62"/>
  <c r="D62"/>
  <c r="H59"/>
  <c r="E59"/>
  <c r="B61" s="1"/>
  <c r="D59"/>
  <c r="A61" s="1"/>
  <c r="B59"/>
  <c r="A59"/>
  <c r="H48"/>
  <c r="B48"/>
  <c r="A48"/>
  <c r="H47"/>
  <c r="G44"/>
  <c r="H45" s="1"/>
  <c r="E47"/>
  <c r="E48" s="1"/>
  <c r="B50" s="1"/>
  <c r="D47"/>
  <c r="D48" s="1"/>
  <c r="A50" s="1"/>
  <c r="B47"/>
  <c r="A47"/>
  <c r="E36"/>
  <c r="B38" s="1"/>
  <c r="D36"/>
  <c r="A38" s="1"/>
  <c r="B36"/>
  <c r="A36"/>
  <c r="E28"/>
  <c r="D28"/>
  <c r="E25"/>
  <c r="B27" s="1"/>
  <c r="B28" s="1"/>
  <c r="D25"/>
  <c r="A27" s="1"/>
  <c r="A28" s="1"/>
  <c r="B25"/>
  <c r="A25"/>
  <c r="H24"/>
  <c r="E24"/>
  <c r="E27" s="1"/>
  <c r="D24"/>
  <c r="D27" s="1"/>
  <c r="B24"/>
  <c r="A24"/>
  <c r="H115" i="3"/>
  <c r="G126" s="1"/>
  <c r="C77" i="24"/>
  <c r="D232"/>
  <c r="D167"/>
  <c r="H77" i="19"/>
  <c r="F70"/>
  <c r="H78" s="1"/>
  <c r="H80" s="1"/>
  <c r="H353" i="24"/>
  <c r="G352"/>
  <c r="H355" s="1"/>
  <c r="G344"/>
  <c r="H345" s="1"/>
  <c r="H338"/>
  <c r="H337" s="1"/>
  <c r="G336" s="1"/>
  <c r="H340" s="1"/>
  <c r="G312"/>
  <c r="H313" s="1"/>
  <c r="H307"/>
  <c r="H306" s="1"/>
  <c r="G305" s="1"/>
  <c r="H309" s="1"/>
  <c r="D303"/>
  <c r="H285"/>
  <c r="H284" s="1"/>
  <c r="G283" s="1"/>
  <c r="H287" s="1"/>
  <c r="G292"/>
  <c r="H296" s="1"/>
  <c r="G293"/>
  <c r="H297" s="1"/>
  <c r="H270"/>
  <c r="H272" s="1"/>
  <c r="D256"/>
  <c r="D263" s="1"/>
  <c r="G266" s="1"/>
  <c r="D242"/>
  <c r="G243" s="1"/>
  <c r="D225"/>
  <c r="G228" s="1"/>
  <c r="G209"/>
  <c r="G210" s="1"/>
  <c r="G208"/>
  <c r="H214" s="1"/>
  <c r="G206"/>
  <c r="H213" s="1"/>
  <c r="G185"/>
  <c r="H191" s="1"/>
  <c r="G186"/>
  <c r="H192" s="1"/>
  <c r="G184"/>
  <c r="H190" s="1"/>
  <c r="D158"/>
  <c r="D160" s="1"/>
  <c r="H150"/>
  <c r="H168" s="1"/>
  <c r="H174" s="1"/>
  <c r="G141"/>
  <c r="H144" s="1"/>
  <c r="C119"/>
  <c r="C105"/>
  <c r="H132" s="1"/>
  <c r="G94"/>
  <c r="H95" s="1"/>
  <c r="G84"/>
  <c r="H85" s="1"/>
  <c r="C72"/>
  <c r="H78" s="1"/>
  <c r="C56"/>
  <c r="G61" s="1"/>
  <c r="G42"/>
  <c r="G44" s="1"/>
  <c r="H45" s="1"/>
  <c r="H48" s="1"/>
  <c r="G10"/>
  <c r="H14" s="1"/>
  <c r="G9"/>
  <c r="H13" s="1"/>
  <c r="C6"/>
  <c r="C18" s="1"/>
  <c r="H24" s="1"/>
  <c r="H110" i="23"/>
  <c r="H112" s="1"/>
  <c r="G103"/>
  <c r="H104" s="1"/>
  <c r="H106" s="1"/>
  <c r="H96"/>
  <c r="H98" s="1"/>
  <c r="H81"/>
  <c r="G88" s="1"/>
  <c r="H89" s="1"/>
  <c r="G74"/>
  <c r="H75" s="1"/>
  <c r="H77" s="1"/>
  <c r="H68"/>
  <c r="H69" s="1"/>
  <c r="H56"/>
  <c r="H58" s="1"/>
  <c r="H49"/>
  <c r="H51" s="1"/>
  <c r="H28"/>
  <c r="H30" s="1"/>
  <c r="H21"/>
  <c r="G41" s="1"/>
  <c r="H42" s="1"/>
  <c r="H44" s="1"/>
  <c r="H13"/>
  <c r="H5"/>
  <c r="H163" i="22"/>
  <c r="H167" s="1"/>
  <c r="G153"/>
  <c r="H154" s="1"/>
  <c r="G162" s="1"/>
  <c r="H168" s="1"/>
  <c r="G141"/>
  <c r="G131"/>
  <c r="H132"/>
  <c r="H135" s="1"/>
  <c r="G42"/>
  <c r="G33"/>
  <c r="H34" s="1"/>
  <c r="H41" s="1"/>
  <c r="H47" s="1"/>
  <c r="H25"/>
  <c r="H27" s="1"/>
  <c r="H15"/>
  <c r="H18" s="1"/>
  <c r="G6"/>
  <c r="H10" s="1"/>
  <c r="G49" i="21"/>
  <c r="H52" s="1"/>
  <c r="G50"/>
  <c r="H53" s="1"/>
  <c r="G48"/>
  <c r="H51" s="1"/>
  <c r="G42"/>
  <c r="G31"/>
  <c r="H28"/>
  <c r="H24"/>
  <c r="H38" s="1"/>
  <c r="G210" i="20"/>
  <c r="H214" s="1"/>
  <c r="G202"/>
  <c r="H203" s="1"/>
  <c r="H211" s="1"/>
  <c r="H220" s="1"/>
  <c r="G192"/>
  <c r="H193" s="1"/>
  <c r="H198" s="1"/>
  <c r="G181"/>
  <c r="H182" s="1"/>
  <c r="H184" s="1"/>
  <c r="H186" s="1"/>
  <c r="G171"/>
  <c r="H172" s="1"/>
  <c r="H174" s="1"/>
  <c r="H176" s="1"/>
  <c r="G161"/>
  <c r="H162" s="1"/>
  <c r="H164" s="1"/>
  <c r="H166" s="1"/>
  <c r="G151"/>
  <c r="H152" s="1"/>
  <c r="H154" s="1"/>
  <c r="H156" s="1"/>
  <c r="H136"/>
  <c r="H141" s="1"/>
  <c r="H126"/>
  <c r="H128" s="1"/>
  <c r="H130" s="1"/>
  <c r="G116"/>
  <c r="H117" s="1"/>
  <c r="H119" s="1"/>
  <c r="H121" s="1"/>
  <c r="H108"/>
  <c r="G107" s="1"/>
  <c r="H111" s="1"/>
  <c r="H100"/>
  <c r="G99" s="1"/>
  <c r="H103" s="1"/>
  <c r="H92"/>
  <c r="G91"/>
  <c r="H93" s="1"/>
  <c r="G79"/>
  <c r="H75"/>
  <c r="H80" s="1"/>
  <c r="H87" s="1"/>
  <c r="G66"/>
  <c r="H67" s="1"/>
  <c r="G55"/>
  <c r="H57" s="1"/>
  <c r="H61" s="1"/>
  <c r="G33"/>
  <c r="H34" s="1"/>
  <c r="H36" s="1"/>
  <c r="H38" s="1"/>
  <c r="G20"/>
  <c r="H25" s="1"/>
  <c r="H16"/>
  <c r="H21" s="1"/>
  <c r="H28" s="1"/>
  <c r="H156" i="19"/>
  <c r="G149"/>
  <c r="H142"/>
  <c r="G164" s="1"/>
  <c r="H144"/>
  <c r="H165" s="1"/>
  <c r="H125"/>
  <c r="H129" s="1"/>
  <c r="G117"/>
  <c r="G123" s="1"/>
  <c r="H100"/>
  <c r="H102" s="1"/>
  <c r="G93"/>
  <c r="H94" s="1"/>
  <c r="H96" s="1"/>
  <c r="G63"/>
  <c r="H64" s="1"/>
  <c r="H66" s="1"/>
  <c r="H53"/>
  <c r="G52" s="1"/>
  <c r="H56" s="1"/>
  <c r="H58" s="1"/>
  <c r="H44"/>
  <c r="H46" s="1"/>
  <c r="H48" s="1"/>
  <c r="H159" i="11"/>
  <c r="G152"/>
  <c r="E138"/>
  <c r="H161" s="1"/>
  <c r="E137"/>
  <c r="G158" s="1"/>
  <c r="E134"/>
  <c r="E130"/>
  <c r="D124"/>
  <c r="D125" s="1"/>
  <c r="D126" s="1"/>
  <c r="G117"/>
  <c r="G110"/>
  <c r="H111" s="1"/>
  <c r="H97"/>
  <c r="H96"/>
  <c r="E90"/>
  <c r="E93" s="1"/>
  <c r="H86"/>
  <c r="H85"/>
  <c r="G80"/>
  <c r="H81" s="1"/>
  <c r="H71"/>
  <c r="H22" i="19"/>
  <c r="H17"/>
  <c r="G21" s="1"/>
  <c r="C4" i="5" l="1"/>
  <c r="C7" i="4"/>
  <c r="H39" i="21"/>
  <c r="A378" i="5"/>
  <c r="B36" i="7" s="1"/>
  <c r="A370" i="5"/>
  <c r="B27" i="7" s="1"/>
  <c r="A362" i="5"/>
  <c r="A13" i="7" s="1"/>
  <c r="A366" i="5"/>
  <c r="A358"/>
  <c r="A9" i="7" s="1"/>
  <c r="A354" i="5"/>
  <c r="A5" i="7" s="1"/>
  <c r="A353" i="5"/>
  <c r="H50" i="20"/>
  <c r="C64" i="6"/>
  <c r="G95" i="11"/>
  <c r="G100" s="1"/>
  <c r="H101" s="1"/>
  <c r="E131"/>
  <c r="E129"/>
  <c r="G104"/>
  <c r="H105" s="1"/>
  <c r="H149"/>
  <c r="H162"/>
  <c r="G20" i="19"/>
  <c r="H28" s="1"/>
  <c r="G163"/>
  <c r="H167" s="1"/>
  <c r="H330" i="24"/>
  <c r="H82" i="23"/>
  <c r="G80" s="1"/>
  <c r="H84" s="1"/>
  <c r="F32" i="4"/>
  <c r="F135" s="1"/>
  <c r="G37" i="21"/>
  <c r="F31" i="4"/>
  <c r="F30"/>
  <c r="C22"/>
  <c r="H347" i="24"/>
  <c r="G23"/>
  <c r="H315"/>
  <c r="G267"/>
  <c r="H269" s="1"/>
  <c r="A375" i="5"/>
  <c r="B33" i="7" s="1"/>
  <c r="A377" i="5"/>
  <c r="B35" i="7" s="1"/>
  <c r="A373" i="5"/>
  <c r="B31" i="7" s="1"/>
  <c r="A374" i="5"/>
  <c r="B32" i="7" s="1"/>
  <c r="A379" i="5"/>
  <c r="B37" i="7" s="1"/>
  <c r="A67" i="20"/>
  <c r="H71"/>
  <c r="A386" i="5"/>
  <c r="A385"/>
  <c r="A359"/>
  <c r="A10" i="7" s="1"/>
  <c r="A357" i="5"/>
  <c r="A8" i="7" s="1"/>
  <c r="A355" i="5"/>
  <c r="A6" i="7" s="1"/>
  <c r="A371" i="5"/>
  <c r="B28" i="7" s="1"/>
  <c r="A369" i="5"/>
  <c r="B26" i="7" s="1"/>
  <c r="A367" i="5"/>
  <c r="A18" i="7" s="1"/>
  <c r="A365" i="5"/>
  <c r="A16" i="7" s="1"/>
  <c r="A363" i="5"/>
  <c r="A14" i="7" s="1"/>
  <c r="A361" i="5"/>
  <c r="A12" i="7" s="1"/>
  <c r="A15"/>
  <c r="A11"/>
  <c r="A7"/>
  <c r="H215" i="24"/>
  <c r="D163"/>
  <c r="G60"/>
  <c r="H65" s="1"/>
  <c r="G108"/>
  <c r="H113" s="1"/>
  <c r="H87"/>
  <c r="H97"/>
  <c r="H124"/>
  <c r="H127" s="1"/>
  <c r="G257"/>
  <c r="H258" s="1"/>
  <c r="H47"/>
  <c r="G62"/>
  <c r="H66" s="1"/>
  <c r="G166"/>
  <c r="D162"/>
  <c r="G231"/>
  <c r="H232" s="1"/>
  <c r="H229"/>
  <c r="H33"/>
  <c r="H32"/>
  <c r="H35" s="1"/>
  <c r="A20"/>
  <c r="H26"/>
  <c r="A28"/>
  <c r="H27"/>
  <c r="H246"/>
  <c r="G244"/>
  <c r="H245" s="1"/>
  <c r="H188"/>
  <c r="H294"/>
  <c r="H11"/>
  <c r="G76"/>
  <c r="G109"/>
  <c r="H123"/>
  <c r="H126" s="1"/>
  <c r="G207"/>
  <c r="H211" s="1"/>
  <c r="H217" s="1"/>
  <c r="H92" i="23"/>
  <c r="G34"/>
  <c r="H37" s="1"/>
  <c r="G67"/>
  <c r="H71" s="1"/>
  <c r="G61"/>
  <c r="H62" s="1"/>
  <c r="H64" s="1"/>
  <c r="H158" i="22"/>
  <c r="H38"/>
  <c r="H5"/>
  <c r="G23" s="1"/>
  <c r="G24" s="1"/>
  <c r="H28" s="1"/>
  <c r="H133"/>
  <c r="H136" s="1"/>
  <c r="H62"/>
  <c r="H64" s="1"/>
  <c r="H52"/>
  <c r="H55" s="1"/>
  <c r="G172"/>
  <c r="G181"/>
  <c r="H40"/>
  <c r="G51" s="1"/>
  <c r="H143"/>
  <c r="G161"/>
  <c r="H183" s="1"/>
  <c r="H185" s="1"/>
  <c r="H146" i="19"/>
  <c r="H120"/>
  <c r="A198" i="20"/>
  <c r="E196"/>
  <c r="H205"/>
  <c r="H83"/>
  <c r="G219"/>
  <c r="G218" s="1"/>
  <c r="H222" s="1"/>
  <c r="G208"/>
  <c r="H213" s="1"/>
  <c r="G157" i="19"/>
  <c r="H158" s="1"/>
  <c r="H160" s="1"/>
  <c r="H118"/>
  <c r="H126"/>
  <c r="H128" s="1"/>
  <c r="G133"/>
  <c r="H171"/>
  <c r="G170"/>
  <c r="H150"/>
  <c r="H152" s="1"/>
  <c r="F71"/>
  <c r="G76" s="1"/>
  <c r="G130" i="24"/>
  <c r="H134" s="1"/>
  <c r="B120"/>
  <c r="G131"/>
  <c r="H135" s="1"/>
  <c r="G122"/>
  <c r="H22" i="20"/>
  <c r="H27" s="1"/>
  <c r="H81"/>
  <c r="H86" s="1"/>
  <c r="G84" i="11"/>
  <c r="C341" i="1"/>
  <c r="D378" i="5" s="1"/>
  <c r="D382" s="1"/>
  <c r="C342" i="1"/>
  <c r="D379" i="5" s="1"/>
  <c r="D383" s="1"/>
  <c r="D377"/>
  <c r="D381" s="1"/>
  <c r="C337" i="1"/>
  <c r="D374" i="5" s="1"/>
  <c r="C338" i="1"/>
  <c r="D375" i="5" s="1"/>
  <c r="C336" i="1"/>
  <c r="D373" i="5" s="1"/>
  <c r="C333" i="1"/>
  <c r="D370" i="5" s="1"/>
  <c r="C334" i="1"/>
  <c r="D371" i="5" s="1"/>
  <c r="C332" i="1"/>
  <c r="D369" i="5" s="1"/>
  <c r="C329" i="1"/>
  <c r="D366" i="5" s="1"/>
  <c r="C330" i="1"/>
  <c r="D367" i="5" s="1"/>
  <c r="C328" i="1"/>
  <c r="D365" i="5" s="1"/>
  <c r="C325" i="1"/>
  <c r="D362" i="5" s="1"/>
  <c r="C326" i="1"/>
  <c r="D363" i="5" s="1"/>
  <c r="C324" i="1"/>
  <c r="D361" i="5" s="1"/>
  <c r="C317" i="1"/>
  <c r="D354" i="5" s="1"/>
  <c r="C318" i="1"/>
  <c r="D355" i="5" s="1"/>
  <c r="C316" i="1"/>
  <c r="D353" i="5" s="1"/>
  <c r="B5" i="7"/>
  <c r="B6"/>
  <c r="B8"/>
  <c r="B9"/>
  <c r="B10"/>
  <c r="B12"/>
  <c r="B13"/>
  <c r="B14"/>
  <c r="B16"/>
  <c r="A17"/>
  <c r="B17"/>
  <c r="B18"/>
  <c r="B353" i="5"/>
  <c r="B4" i="7" s="1"/>
  <c r="E68" i="3"/>
  <c r="C62" i="27" s="1"/>
  <c r="E69" i="3"/>
  <c r="C63" i="27" s="1"/>
  <c r="E70" i="3"/>
  <c r="C64" i="27" s="1"/>
  <c r="E71" i="3"/>
  <c r="C65" i="27" s="1"/>
  <c r="E72" i="3"/>
  <c r="C66" i="27" s="1"/>
  <c r="E73" i="3"/>
  <c r="C67" i="27" s="1"/>
  <c r="E93" i="3"/>
  <c r="C87" i="27" s="1"/>
  <c r="E94" i="3"/>
  <c r="C88" i="27" s="1"/>
  <c r="E92" i="3"/>
  <c r="C86" i="27" s="1"/>
  <c r="E87" i="3"/>
  <c r="C81" i="27" s="1"/>
  <c r="E88" i="3"/>
  <c r="C82" i="27" s="1"/>
  <c r="E89" i="3"/>
  <c r="C83" i="27" s="1"/>
  <c r="E90" i="3"/>
  <c r="C84" i="27" s="1"/>
  <c r="E86" i="3"/>
  <c r="C80" i="27" s="1"/>
  <c r="C79" s="1"/>
  <c r="C108" s="1"/>
  <c r="E67" i="3"/>
  <c r="C61" i="27" s="1"/>
  <c r="C60" s="1"/>
  <c r="C107" s="1"/>
  <c r="E61" i="3"/>
  <c r="C55" i="27" s="1"/>
  <c r="E62" i="3"/>
  <c r="C56" i="27" s="1"/>
  <c r="E63" i="3"/>
  <c r="C57" i="27" s="1"/>
  <c r="E65" i="3"/>
  <c r="C59" i="27" s="1"/>
  <c r="E60" i="3"/>
  <c r="C54" i="27" s="1"/>
  <c r="C53" s="1"/>
  <c r="C106" s="1"/>
  <c r="E51" i="3"/>
  <c r="C47" i="27" s="1"/>
  <c r="E52" i="3"/>
  <c r="C48" i="27" s="1"/>
  <c r="E53" i="3"/>
  <c r="C49" i="27" s="1"/>
  <c r="E54" i="3"/>
  <c r="C50" i="27" s="1"/>
  <c r="E55" i="3"/>
  <c r="C51" i="27" s="1"/>
  <c r="E56" i="3"/>
  <c r="C52" i="27" s="1"/>
  <c r="E50" i="3"/>
  <c r="C46" i="27" s="1"/>
  <c r="E48" i="3"/>
  <c r="C44" i="27" s="1"/>
  <c r="E27" i="3"/>
  <c r="C23" i="27" s="1"/>
  <c r="E29" i="3"/>
  <c r="C25" i="27" s="1"/>
  <c r="E31" i="3"/>
  <c r="C27" i="27" s="1"/>
  <c r="E33" i="3"/>
  <c r="C29" i="27" s="1"/>
  <c r="E35" i="3"/>
  <c r="C31" i="27" s="1"/>
  <c r="E37" i="3"/>
  <c r="C33" i="27" s="1"/>
  <c r="E39" i="3"/>
  <c r="C35" i="27" s="1"/>
  <c r="E41" i="3"/>
  <c r="C37" i="27" s="1"/>
  <c r="E43" i="3"/>
  <c r="C39" i="27" s="1"/>
  <c r="E45" i="3"/>
  <c r="C41" i="27" s="1"/>
  <c r="E47" i="3"/>
  <c r="C43" i="27" s="1"/>
  <c r="E25" i="3"/>
  <c r="C21" i="27" s="1"/>
  <c r="E23" i="3"/>
  <c r="C19" i="27" s="1"/>
  <c r="E11" i="3"/>
  <c r="C6" i="27" s="1"/>
  <c r="E13" i="3"/>
  <c r="C8" i="27" s="1"/>
  <c r="E15" i="3"/>
  <c r="C10" i="27" s="1"/>
  <c r="E17" i="3"/>
  <c r="C12" i="27" s="1"/>
  <c r="E19" i="3"/>
  <c r="C14" i="27" s="1"/>
  <c r="E21" i="3"/>
  <c r="C16" i="27" s="1"/>
  <c r="E9" i="3"/>
  <c r="C4" i="27" s="1"/>
  <c r="C3" s="1"/>
  <c r="C114" i="3"/>
  <c r="C109"/>
  <c r="C108"/>
  <c r="C107"/>
  <c r="C103" i="27" l="1"/>
  <c r="C18"/>
  <c r="C104" s="1"/>
  <c r="C45"/>
  <c r="C105" s="1"/>
  <c r="C85"/>
  <c r="C109" s="1"/>
  <c r="E4" i="5"/>
  <c r="H7" i="6" s="1"/>
  <c r="J4" i="27" s="1"/>
  <c r="C348" i="5"/>
  <c r="E64" i="6"/>
  <c r="D58" i="27" s="1"/>
  <c r="B34" i="26"/>
  <c r="C371" i="5"/>
  <c r="E371" s="1"/>
  <c r="G28" i="7" s="1"/>
  <c r="C377" i="5"/>
  <c r="E377" s="1"/>
  <c r="C369"/>
  <c r="E369" s="1"/>
  <c r="C357"/>
  <c r="E357" s="1"/>
  <c r="F8" i="7" s="1"/>
  <c r="C379" i="5"/>
  <c r="E379" s="1"/>
  <c r="G37" i="7" s="1"/>
  <c r="C362" i="5"/>
  <c r="E362" s="1"/>
  <c r="E66" i="3"/>
  <c r="C355" i="5"/>
  <c r="E355" s="1"/>
  <c r="F6" i="7" s="1"/>
  <c r="E7" i="3"/>
  <c r="C374" i="5"/>
  <c r="E374" s="1"/>
  <c r="G32" i="7" s="1"/>
  <c r="C375" i="5"/>
  <c r="E375" s="1"/>
  <c r="G33" i="7" s="1"/>
  <c r="C363" i="5"/>
  <c r="E363" s="1"/>
  <c r="D14" i="7" s="1"/>
  <c r="C386" i="5"/>
  <c r="E386" s="1"/>
  <c r="C367"/>
  <c r="E367" s="1"/>
  <c r="F18" i="7" s="1"/>
  <c r="C373" i="5"/>
  <c r="E373" s="1"/>
  <c r="G31" i="7" s="1"/>
  <c r="C361" i="5"/>
  <c r="E361" s="1"/>
  <c r="D12" i="7" s="1"/>
  <c r="H53" i="22"/>
  <c r="H56" s="1"/>
  <c r="C353" i="5"/>
  <c r="E353" s="1"/>
  <c r="F4" i="7" s="1"/>
  <c r="C385" i="5"/>
  <c r="E385" s="1"/>
  <c r="E91" i="3"/>
  <c r="H173" i="22"/>
  <c r="H176" s="1"/>
  <c r="H35" i="23"/>
  <c r="C378" i="5"/>
  <c r="E378" s="1"/>
  <c r="G36" i="7" s="1"/>
  <c r="A19"/>
  <c r="C366" i="5"/>
  <c r="E366" s="1"/>
  <c r="F17" i="7" s="1"/>
  <c r="C113" i="3"/>
  <c r="C115" s="1"/>
  <c r="H110"/>
  <c r="C118"/>
  <c r="C119" s="1"/>
  <c r="E127" s="1"/>
  <c r="H127" s="1"/>
  <c r="C110"/>
  <c r="E49"/>
  <c r="H16" i="22"/>
  <c r="H19" s="1"/>
  <c r="F147" i="4"/>
  <c r="D141" i="26" s="1"/>
  <c r="D115"/>
  <c r="E22" i="3"/>
  <c r="E85"/>
  <c r="H153" i="11"/>
  <c r="H150"/>
  <c r="G157"/>
  <c r="E133"/>
  <c r="H160" s="1"/>
  <c r="H154"/>
  <c r="C370" i="5"/>
  <c r="E370" s="1"/>
  <c r="G27" i="7" s="1"/>
  <c r="E59" i="3"/>
  <c r="H268" i="24"/>
  <c r="H273" s="1"/>
  <c r="H260"/>
  <c r="C359" i="5"/>
  <c r="E359" s="1"/>
  <c r="F10" i="7" s="1"/>
  <c r="C365" i="5"/>
  <c r="E365" s="1"/>
  <c r="C322" i="1"/>
  <c r="D359" i="5" s="1"/>
  <c r="C320" i="1"/>
  <c r="D357" i="5" s="1"/>
  <c r="C321" i="1"/>
  <c r="D358" i="5" s="1"/>
  <c r="A4" i="7"/>
  <c r="H248" i="24"/>
  <c r="H234"/>
  <c r="D164"/>
  <c r="H169" s="1"/>
  <c r="H171"/>
  <c r="H63"/>
  <c r="G110"/>
  <c r="H114" s="1"/>
  <c r="G77"/>
  <c r="G75" s="1"/>
  <c r="H80" s="1"/>
  <c r="H36"/>
  <c r="G31"/>
  <c r="H111"/>
  <c r="G142" i="22"/>
  <c r="H146" s="1"/>
  <c r="H145"/>
  <c r="H174"/>
  <c r="H177" s="1"/>
  <c r="G60"/>
  <c r="G61" s="1"/>
  <c r="H65" s="1"/>
  <c r="H46"/>
  <c r="G182"/>
  <c r="H186" s="1"/>
  <c r="H173" i="19"/>
  <c r="G172" s="1"/>
  <c r="H175" s="1"/>
  <c r="H134"/>
  <c r="H135" s="1"/>
  <c r="H137" s="1"/>
  <c r="F72"/>
  <c r="G84" s="1"/>
  <c r="H88" s="1"/>
  <c r="C95" i="27" l="1"/>
  <c r="C110"/>
  <c r="K4"/>
  <c r="L4"/>
  <c r="E126" i="3"/>
  <c r="H126" s="1"/>
  <c r="G128" s="1"/>
  <c r="E125"/>
  <c r="H121"/>
  <c r="E6"/>
  <c r="G35" i="7"/>
  <c r="G38" s="1"/>
  <c r="E380" i="5"/>
  <c r="C354"/>
  <c r="E354" s="1"/>
  <c r="C358"/>
  <c r="E358" s="1"/>
  <c r="F9" i="7" s="1"/>
  <c r="F11" s="1"/>
  <c r="E100" i="3"/>
  <c r="E57"/>
  <c r="G125"/>
  <c r="C121"/>
  <c r="E135" i="11"/>
  <c r="E139" s="1"/>
  <c r="E140" s="1"/>
  <c r="D141" s="1"/>
  <c r="E141" s="1"/>
  <c r="E144" s="1"/>
  <c r="E368" i="5"/>
  <c r="G26" i="7"/>
  <c r="G29" s="1"/>
  <c r="E372" i="5"/>
  <c r="D13" i="7"/>
  <c r="E364" i="5"/>
  <c r="G34" i="7"/>
  <c r="G41" s="1"/>
  <c r="E376" i="5"/>
  <c r="G167" i="24"/>
  <c r="H173"/>
  <c r="H81"/>
  <c r="F73" i="19"/>
  <c r="G83" s="1"/>
  <c r="F16" i="7"/>
  <c r="F19" s="1"/>
  <c r="F15"/>
  <c r="D115" i="4"/>
  <c r="E115"/>
  <c r="D116"/>
  <c r="E116"/>
  <c r="D117"/>
  <c r="E117"/>
  <c r="D118"/>
  <c r="E118"/>
  <c r="D119"/>
  <c r="E119"/>
  <c r="D120"/>
  <c r="E120"/>
  <c r="D121"/>
  <c r="E121"/>
  <c r="D122"/>
  <c r="E122"/>
  <c r="D123"/>
  <c r="E123"/>
  <c r="E114"/>
  <c r="D114"/>
  <c r="D102"/>
  <c r="E102"/>
  <c r="D103"/>
  <c r="E103"/>
  <c r="D104"/>
  <c r="E104"/>
  <c r="D105"/>
  <c r="E105"/>
  <c r="D106"/>
  <c r="E106"/>
  <c r="D107"/>
  <c r="E107"/>
  <c r="D108"/>
  <c r="E108"/>
  <c r="E101"/>
  <c r="D101"/>
  <c r="D49"/>
  <c r="E49"/>
  <c r="D50"/>
  <c r="E50"/>
  <c r="D51"/>
  <c r="E51"/>
  <c r="D52"/>
  <c r="E52"/>
  <c r="D53"/>
  <c r="E53"/>
  <c r="E48"/>
  <c r="D48"/>
  <c r="D6"/>
  <c r="E6"/>
  <c r="D7"/>
  <c r="E7"/>
  <c r="D8"/>
  <c r="E8"/>
  <c r="D9"/>
  <c r="E9"/>
  <c r="D10"/>
  <c r="E10"/>
  <c r="D11"/>
  <c r="E11"/>
  <c r="D12"/>
  <c r="E12"/>
  <c r="D13"/>
  <c r="E13"/>
  <c r="D14"/>
  <c r="E14"/>
  <c r="D15"/>
  <c r="E15"/>
  <c r="D16"/>
  <c r="E16"/>
  <c r="D17"/>
  <c r="E17"/>
  <c r="D18"/>
  <c r="E18"/>
  <c r="D19"/>
  <c r="E19"/>
  <c r="D20"/>
  <c r="E20"/>
  <c r="D21"/>
  <c r="E21"/>
  <c r="D22"/>
  <c r="E22"/>
  <c r="D23"/>
  <c r="E23"/>
  <c r="D24"/>
  <c r="E24"/>
  <c r="D25"/>
  <c r="E25"/>
  <c r="D26"/>
  <c r="E26"/>
  <c r="D98"/>
  <c r="E98"/>
  <c r="D99"/>
  <c r="E99"/>
  <c r="D100"/>
  <c r="E100"/>
  <c r="D27"/>
  <c r="E27"/>
  <c r="D28"/>
  <c r="E28"/>
  <c r="D29"/>
  <c r="E29"/>
  <c r="E5"/>
  <c r="D5"/>
  <c r="A114"/>
  <c r="B114"/>
  <c r="A115"/>
  <c r="B115"/>
  <c r="A116"/>
  <c r="B116"/>
  <c r="A117"/>
  <c r="B117"/>
  <c r="A118"/>
  <c r="B118"/>
  <c r="A119"/>
  <c r="B119"/>
  <c r="A120"/>
  <c r="B120"/>
  <c r="A121"/>
  <c r="B121"/>
  <c r="A122"/>
  <c r="B122"/>
  <c r="A123"/>
  <c r="B123"/>
  <c r="A124"/>
  <c r="B124"/>
  <c r="B113"/>
  <c r="A113"/>
  <c r="A102"/>
  <c r="B102"/>
  <c r="A103"/>
  <c r="B103"/>
  <c r="A104"/>
  <c r="B104"/>
  <c r="A105"/>
  <c r="B105"/>
  <c r="A106"/>
  <c r="B106"/>
  <c r="A107"/>
  <c r="B107"/>
  <c r="A108"/>
  <c r="B108"/>
  <c r="B101"/>
  <c r="A101"/>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A86"/>
  <c r="B86"/>
  <c r="A87"/>
  <c r="B87"/>
  <c r="A88"/>
  <c r="B88"/>
  <c r="A89"/>
  <c r="B89"/>
  <c r="A90"/>
  <c r="B90"/>
  <c r="A91"/>
  <c r="B91"/>
  <c r="B38"/>
  <c r="A38"/>
  <c r="A98"/>
  <c r="B98"/>
  <c r="A99"/>
  <c r="B99"/>
  <c r="A100"/>
  <c r="B100"/>
  <c r="A5"/>
  <c r="F60" i="6"/>
  <c r="A92"/>
  <c r="A86"/>
  <c r="A67"/>
  <c r="A60"/>
  <c r="A50"/>
  <c r="A23"/>
  <c r="A8" i="3"/>
  <c r="A8" i="6" l="1"/>
  <c r="A4" i="27"/>
  <c r="H125" i="3"/>
  <c r="E128" s="1"/>
  <c r="H128" s="1"/>
  <c r="A129" s="1"/>
  <c r="E101"/>
  <c r="A4" s="1"/>
  <c r="F5" i="7"/>
  <c r="F7" s="1"/>
  <c r="F20" s="1"/>
  <c r="E356" i="5"/>
  <c r="E360"/>
  <c r="H122" i="3"/>
  <c r="A13" i="26"/>
  <c r="A12"/>
  <c r="A11"/>
  <c r="A66"/>
  <c r="A10"/>
  <c r="A63"/>
  <c r="H163" i="11"/>
  <c r="E145"/>
  <c r="H164" s="1"/>
  <c r="E142"/>
  <c r="H165" s="1"/>
  <c r="H85" i="19"/>
  <c r="H87"/>
  <c r="B381" i="5"/>
  <c r="B382"/>
  <c r="B383"/>
  <c r="A383" l="1"/>
  <c r="A382"/>
  <c r="A381"/>
  <c r="H13" i="9"/>
  <c r="H102" i="3"/>
  <c r="E146" i="11"/>
  <c r="I3" i="2"/>
  <c r="F3"/>
  <c r="F29" i="4"/>
  <c r="F28"/>
  <c r="F16"/>
  <c r="F13"/>
  <c r="G36" i="15"/>
  <c r="G37" s="1"/>
  <c r="F12" i="4" l="1"/>
  <c r="F15"/>
  <c r="F14"/>
  <c r="G13" i="9"/>
  <c r="D9" i="6"/>
  <c r="D3" i="2"/>
  <c r="F99" i="4"/>
  <c r="F100"/>
  <c r="F27"/>
  <c r="H9" i="6"/>
  <c r="J6" i="27" s="1"/>
  <c r="H10" i="6"/>
  <c r="J7" i="27" s="1"/>
  <c r="H15" i="6"/>
  <c r="J12" i="27" s="1"/>
  <c r="H16" i="6"/>
  <c r="J13" i="27" s="1"/>
  <c r="H17" i="6"/>
  <c r="J14" i="27" s="1"/>
  <c r="H18" i="6"/>
  <c r="J15" i="27" s="1"/>
  <c r="H21" i="6"/>
  <c r="J18" i="27" s="1"/>
  <c r="F118" i="4"/>
  <c r="H64" i="6"/>
  <c r="J59" i="27" s="1"/>
  <c r="H67" i="6"/>
  <c r="J62" i="27" s="1"/>
  <c r="H71" i="6"/>
  <c r="J66" i="27" s="1"/>
  <c r="C10" i="6"/>
  <c r="D11"/>
  <c r="C12"/>
  <c r="D13"/>
  <c r="C23"/>
  <c r="C24"/>
  <c r="D25"/>
  <c r="C26"/>
  <c r="D27"/>
  <c r="C28"/>
  <c r="D29"/>
  <c r="C30"/>
  <c r="D31"/>
  <c r="C32"/>
  <c r="D33"/>
  <c r="C34"/>
  <c r="D35"/>
  <c r="C36"/>
  <c r="D37"/>
  <c r="C44"/>
  <c r="B19" i="26" s="1"/>
  <c r="D45" i="6"/>
  <c r="C19" i="26" s="1"/>
  <c r="C46" i="6"/>
  <c r="D47"/>
  <c r="C48"/>
  <c r="C50"/>
  <c r="C51"/>
  <c r="E51" s="1"/>
  <c r="D47" i="27" s="1"/>
  <c r="C52" i="6"/>
  <c r="C53"/>
  <c r="E53" s="1"/>
  <c r="D49" i="27" s="1"/>
  <c r="C54" i="6"/>
  <c r="C55"/>
  <c r="E55" s="1"/>
  <c r="D51" i="27" s="1"/>
  <c r="C56" i="6"/>
  <c r="E56" s="1"/>
  <c r="D52" i="27" s="1"/>
  <c r="C60" i="6"/>
  <c r="B31" i="26" s="1"/>
  <c r="C61" i="6"/>
  <c r="C62"/>
  <c r="C63"/>
  <c r="E63" s="1"/>
  <c r="D57" i="27" s="1"/>
  <c r="C65" i="6"/>
  <c r="E65" s="1"/>
  <c r="D59" i="27" s="1"/>
  <c r="C67" i="6"/>
  <c r="C68"/>
  <c r="E68" s="1"/>
  <c r="D62" i="27" s="1"/>
  <c r="C69" i="6"/>
  <c r="E69" s="1"/>
  <c r="D63" i="27" s="1"/>
  <c r="C70" i="6"/>
  <c r="E70" s="1"/>
  <c r="D64" i="27" s="1"/>
  <c r="C71" i="6"/>
  <c r="E71" s="1"/>
  <c r="D65" i="27" s="1"/>
  <c r="C72" i="6"/>
  <c r="C73"/>
  <c r="C74"/>
  <c r="E74" s="1"/>
  <c r="D68" i="27" s="1"/>
  <c r="C76" i="6"/>
  <c r="C77"/>
  <c r="E77" s="1"/>
  <c r="D71" i="27" s="1"/>
  <c r="C78" i="6"/>
  <c r="E78" s="1"/>
  <c r="D72" i="27" s="1"/>
  <c r="C79" i="6"/>
  <c r="E79" s="1"/>
  <c r="D73" i="27" s="1"/>
  <c r="C80" i="6"/>
  <c r="E80" s="1"/>
  <c r="D74" i="27" s="1"/>
  <c r="C81" i="6"/>
  <c r="E81" s="1"/>
  <c r="D75" i="27" s="1"/>
  <c r="C82" i="6"/>
  <c r="E82" s="1"/>
  <c r="D76" i="27" s="1"/>
  <c r="C83" i="6"/>
  <c r="E83" s="1"/>
  <c r="D77" i="27" s="1"/>
  <c r="C86" i="6"/>
  <c r="B45" i="26" s="1"/>
  <c r="C87" i="6"/>
  <c r="C88"/>
  <c r="C89"/>
  <c r="C90"/>
  <c r="C92"/>
  <c r="B51" i="26" s="1"/>
  <c r="C93" i="6"/>
  <c r="C94"/>
  <c r="C95"/>
  <c r="E95" s="1"/>
  <c r="D89" i="27" s="1"/>
  <c r="C96" i="6"/>
  <c r="E96" s="1"/>
  <c r="D90" i="27" s="1"/>
  <c r="C97" i="6"/>
  <c r="C5" i="4"/>
  <c r="F48"/>
  <c r="F50"/>
  <c r="F52"/>
  <c r="F101"/>
  <c r="C98"/>
  <c r="C99"/>
  <c r="C100"/>
  <c r="C19"/>
  <c r="C21"/>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136" s="1"/>
  <c r="C80"/>
  <c r="C81"/>
  <c r="C82"/>
  <c r="C83"/>
  <c r="C84"/>
  <c r="C85"/>
  <c r="C86"/>
  <c r="C87"/>
  <c r="C88"/>
  <c r="C89"/>
  <c r="C90"/>
  <c r="C91"/>
  <c r="C138" s="1"/>
  <c r="C101"/>
  <c r="C102"/>
  <c r="C103"/>
  <c r="C104"/>
  <c r="C105"/>
  <c r="C106"/>
  <c r="C107"/>
  <c r="C108"/>
  <c r="C113"/>
  <c r="C119"/>
  <c r="F108"/>
  <c r="F115"/>
  <c r="F116"/>
  <c r="F120"/>
  <c r="F122"/>
  <c r="F104"/>
  <c r="H8" i="6"/>
  <c r="J5" i="27" s="1"/>
  <c r="C114" i="4"/>
  <c r="C115"/>
  <c r="C116"/>
  <c r="C117"/>
  <c r="C118"/>
  <c r="C120"/>
  <c r="C121"/>
  <c r="C122"/>
  <c r="C123"/>
  <c r="C124"/>
  <c r="F5"/>
  <c r="F6"/>
  <c r="F7"/>
  <c r="F8"/>
  <c r="F9"/>
  <c r="F10"/>
  <c r="F11"/>
  <c r="F17"/>
  <c r="F18"/>
  <c r="F19"/>
  <c r="F20"/>
  <c r="F21"/>
  <c r="F22"/>
  <c r="F23"/>
  <c r="F24"/>
  <c r="F25"/>
  <c r="F26"/>
  <c r="F98"/>
  <c r="F49"/>
  <c r="F51"/>
  <c r="F53"/>
  <c r="F102"/>
  <c r="F103"/>
  <c r="F105"/>
  <c r="F106"/>
  <c r="F107"/>
  <c r="F114"/>
  <c r="F117"/>
  <c r="F119"/>
  <c r="F121"/>
  <c r="F123"/>
  <c r="D44" i="15"/>
  <c r="B44"/>
  <c r="B45" s="1"/>
  <c r="D37"/>
  <c r="D36"/>
  <c r="D35"/>
  <c r="D34"/>
  <c r="C61"/>
  <c r="F59"/>
  <c r="F58"/>
  <c r="G58" s="1"/>
  <c r="F57"/>
  <c r="G57" s="1"/>
  <c r="F56"/>
  <c r="G56" s="1"/>
  <c r="F55"/>
  <c r="G55" s="1"/>
  <c r="F54"/>
  <c r="G54" s="1"/>
  <c r="F53"/>
  <c r="G53" s="1"/>
  <c r="F52"/>
  <c r="G52" s="1"/>
  <c r="F51"/>
  <c r="G51" s="1"/>
  <c r="F50"/>
  <c r="G50" s="1"/>
  <c r="G28"/>
  <c r="G27"/>
  <c r="F29" s="1"/>
  <c r="C27"/>
  <c r="C26"/>
  <c r="D24"/>
  <c r="D23"/>
  <c r="D19"/>
  <c r="C17"/>
  <c r="B20" s="1"/>
  <c r="G16"/>
  <c r="F18" s="1"/>
  <c r="D16"/>
  <c r="C10"/>
  <c r="B11" s="1"/>
  <c r="G9"/>
  <c r="F11" s="1"/>
  <c r="D9"/>
  <c r="D8"/>
  <c r="D51" i="14"/>
  <c r="F51" s="1"/>
  <c r="H55" s="1"/>
  <c r="G67"/>
  <c r="H68" s="1"/>
  <c r="G65"/>
  <c r="D55"/>
  <c r="C53"/>
  <c r="E52"/>
  <c r="G30"/>
  <c r="I30" s="1"/>
  <c r="C29"/>
  <c r="C28"/>
  <c r="C27"/>
  <c r="G19"/>
  <c r="H20" s="1"/>
  <c r="B16"/>
  <c r="B15"/>
  <c r="B14"/>
  <c r="C11"/>
  <c r="F9"/>
  <c r="C9"/>
  <c r="C10" s="1"/>
  <c r="F8"/>
  <c r="C8"/>
  <c r="H8" s="1"/>
  <c r="G7"/>
  <c r="F7"/>
  <c r="E7"/>
  <c r="I7" s="1"/>
  <c r="D7"/>
  <c r="H7" s="1"/>
  <c r="G6"/>
  <c r="F6"/>
  <c r="E6"/>
  <c r="I6" s="1"/>
  <c r="D6"/>
  <c r="H6" s="1"/>
  <c r="F5"/>
  <c r="E5"/>
  <c r="D5"/>
  <c r="I4"/>
  <c r="E4"/>
  <c r="D4"/>
  <c r="H6" i="13"/>
  <c r="D7"/>
  <c r="F7" s="1"/>
  <c r="D8"/>
  <c r="E9"/>
  <c r="F9" s="1"/>
  <c r="C10"/>
  <c r="C12" s="1"/>
  <c r="E24"/>
  <c r="H24" s="1"/>
  <c r="H25"/>
  <c r="B28"/>
  <c r="B31"/>
  <c r="C31"/>
  <c r="B32"/>
  <c r="B41" s="1"/>
  <c r="C32"/>
  <c r="C41" s="1"/>
  <c r="E33"/>
  <c r="F17" i="9"/>
  <c r="F57" i="27" l="1"/>
  <c r="E57"/>
  <c r="F77"/>
  <c r="E77"/>
  <c r="K5"/>
  <c r="L5"/>
  <c r="E75"/>
  <c r="F75"/>
  <c r="E73"/>
  <c r="F73"/>
  <c r="E71"/>
  <c r="F71"/>
  <c r="E64"/>
  <c r="F64"/>
  <c r="E62"/>
  <c r="F62"/>
  <c r="E51"/>
  <c r="F51"/>
  <c r="B97" i="26"/>
  <c r="D97" s="1"/>
  <c r="K15" i="27"/>
  <c r="L15"/>
  <c r="K13"/>
  <c r="L13"/>
  <c r="L7"/>
  <c r="K7"/>
  <c r="E89"/>
  <c r="F89"/>
  <c r="E76"/>
  <c r="F76"/>
  <c r="E74"/>
  <c r="F74"/>
  <c r="E72"/>
  <c r="F72"/>
  <c r="E63"/>
  <c r="F63"/>
  <c r="E58"/>
  <c r="F58"/>
  <c r="L66"/>
  <c r="K66"/>
  <c r="B94" i="26"/>
  <c r="K18" i="27"/>
  <c r="L18"/>
  <c r="K14"/>
  <c r="L14"/>
  <c r="L12"/>
  <c r="K12"/>
  <c r="L6"/>
  <c r="K6"/>
  <c r="E348" i="5"/>
  <c r="B25" i="26"/>
  <c r="B59"/>
  <c r="D59" s="1"/>
  <c r="E94" i="6"/>
  <c r="D88" i="27" s="1"/>
  <c r="E88" s="1"/>
  <c r="B53" i="26"/>
  <c r="D53" s="1"/>
  <c r="E89" i="6"/>
  <c r="D83" i="27" s="1"/>
  <c r="B48" i="26"/>
  <c r="D48" s="1"/>
  <c r="E87" i="6"/>
  <c r="D81" i="27" s="1"/>
  <c r="B46" i="26"/>
  <c r="D46" s="1"/>
  <c r="E72" i="6"/>
  <c r="D66" i="27" s="1"/>
  <c r="B37" i="26"/>
  <c r="D37" s="1"/>
  <c r="E62" i="6"/>
  <c r="D56" i="27" s="1"/>
  <c r="E56" s="1"/>
  <c r="B33" i="26"/>
  <c r="D33" s="1"/>
  <c r="E48" i="6"/>
  <c r="D44" i="27" s="1"/>
  <c r="B23" i="26"/>
  <c r="D23" s="1"/>
  <c r="B17"/>
  <c r="B18"/>
  <c r="B16"/>
  <c r="E97" i="6"/>
  <c r="D91" i="27" s="1"/>
  <c r="B54" i="26"/>
  <c r="D54" s="1"/>
  <c r="E93" i="6"/>
  <c r="D87" i="27" s="1"/>
  <c r="B52" i="26"/>
  <c r="E90" i="6"/>
  <c r="D84" i="27" s="1"/>
  <c r="B49" i="26"/>
  <c r="D49" s="1"/>
  <c r="E88" i="6"/>
  <c r="D82" i="27" s="1"/>
  <c r="B47" i="26"/>
  <c r="D47" s="1"/>
  <c r="E76" i="6"/>
  <c r="D70" i="27" s="1"/>
  <c r="F70" s="1"/>
  <c r="B41" i="26"/>
  <c r="D41" s="1"/>
  <c r="E73" i="6"/>
  <c r="D67" i="27" s="1"/>
  <c r="F67" s="1"/>
  <c r="B38" i="26"/>
  <c r="E61" i="6"/>
  <c r="D55" i="27" s="1"/>
  <c r="B32" i="26"/>
  <c r="E54" i="6"/>
  <c r="D50" i="27" s="1"/>
  <c r="F50" s="1"/>
  <c r="B27" i="26"/>
  <c r="E52" i="6"/>
  <c r="D48" i="27" s="1"/>
  <c r="F48" s="1"/>
  <c r="B26" i="26"/>
  <c r="D26" s="1"/>
  <c r="B15"/>
  <c r="H145" i="6"/>
  <c r="B36" i="26"/>
  <c r="C17"/>
  <c r="C18"/>
  <c r="C16"/>
  <c r="E47" i="6"/>
  <c r="D43" i="27" s="1"/>
  <c r="E45" i="6"/>
  <c r="D41" i="27" s="1"/>
  <c r="E37" i="6"/>
  <c r="D33" i="27" s="1"/>
  <c r="E35" i="6"/>
  <c r="D31" i="27" s="1"/>
  <c r="E33" i="6"/>
  <c r="D29" i="27" s="1"/>
  <c r="E31" i="6"/>
  <c r="D27" i="27" s="1"/>
  <c r="E29" i="6"/>
  <c r="D25" i="27" s="1"/>
  <c r="E27" i="6"/>
  <c r="D23" i="27" s="1"/>
  <c r="E25" i="6"/>
  <c r="D21" i="27" s="1"/>
  <c r="E92" i="6"/>
  <c r="D86" i="27" s="1"/>
  <c r="C91" i="6"/>
  <c r="C75"/>
  <c r="E75" s="1"/>
  <c r="D69" i="27" s="1"/>
  <c r="E67" i="6"/>
  <c r="D61" i="27" s="1"/>
  <c r="C66" i="6"/>
  <c r="C114" s="1"/>
  <c r="E50"/>
  <c r="D46" i="27" s="1"/>
  <c r="C49" i="6"/>
  <c r="C109" s="1"/>
  <c r="D43"/>
  <c r="C20" i="26" s="1"/>
  <c r="D41" i="6"/>
  <c r="C22" i="26" s="1"/>
  <c r="D39" i="6"/>
  <c r="C21" i="26" s="1"/>
  <c r="E23" i="6"/>
  <c r="D19" i="27" s="1"/>
  <c r="C20" i="6"/>
  <c r="B9" i="26" s="1"/>
  <c r="C18" i="6"/>
  <c r="C16"/>
  <c r="B10" i="26"/>
  <c r="C14" i="6"/>
  <c r="E11"/>
  <c r="D6" i="27" s="1"/>
  <c r="D107" i="26"/>
  <c r="H75" i="6"/>
  <c r="J70" i="27" s="1"/>
  <c r="H73" i="6"/>
  <c r="J68" i="27" s="1"/>
  <c r="H65" i="6"/>
  <c r="J60" i="27" s="1"/>
  <c r="H63" i="6"/>
  <c r="J58" i="27" s="1"/>
  <c r="E9" i="6"/>
  <c r="D4" i="27" s="1"/>
  <c r="E13" i="6"/>
  <c r="D8" i="27" s="1"/>
  <c r="C85" i="6"/>
  <c r="E86"/>
  <c r="D80" i="27" s="1"/>
  <c r="E60" i="6"/>
  <c r="D54" i="27" s="1"/>
  <c r="C59" i="6"/>
  <c r="C113" s="1"/>
  <c r="C42"/>
  <c r="B20" i="26" s="1"/>
  <c r="C40" i="6"/>
  <c r="B22" i="26" s="1"/>
  <c r="C38" i="6"/>
  <c r="B21" i="26" s="1"/>
  <c r="D21" i="6"/>
  <c r="C9" i="26" s="1"/>
  <c r="D19" i="6"/>
  <c r="C13" i="26" s="1"/>
  <c r="D17" i="6"/>
  <c r="C12" i="26" s="1"/>
  <c r="C10"/>
  <c r="D15" i="6"/>
  <c r="D108" i="26"/>
  <c r="H76" i="6"/>
  <c r="J71" i="27" s="1"/>
  <c r="D106" i="26"/>
  <c r="H74" i="6"/>
  <c r="J69" i="27" s="1"/>
  <c r="H72" i="6"/>
  <c r="J67" i="27" s="1"/>
  <c r="H68" i="6"/>
  <c r="J63" i="27" s="1"/>
  <c r="H66" i="6"/>
  <c r="J61" i="27" s="1"/>
  <c r="H62" i="6"/>
  <c r="J57" i="27" s="1"/>
  <c r="H25" i="6"/>
  <c r="J22" i="27" s="1"/>
  <c r="H24" i="6"/>
  <c r="J21" i="27" s="1"/>
  <c r="H22" i="6"/>
  <c r="J19" i="27" s="1"/>
  <c r="H19" i="6"/>
  <c r="J16" i="27" s="1"/>
  <c r="H12" i="6"/>
  <c r="J9" i="27" s="1"/>
  <c r="H26" i="6"/>
  <c r="J23" i="27" s="1"/>
  <c r="H23" i="6"/>
  <c r="J20" i="27" s="1"/>
  <c r="H13" i="6"/>
  <c r="J10" i="27" s="1"/>
  <c r="H11" i="6"/>
  <c r="J8" i="27" s="1"/>
  <c r="D7" i="15"/>
  <c r="F158" i="4"/>
  <c r="D152" i="26" s="1"/>
  <c r="D130"/>
  <c r="F156" i="4"/>
  <c r="D150" i="26" s="1"/>
  <c r="D128"/>
  <c r="F134" i="4"/>
  <c r="D114" i="26" s="1"/>
  <c r="F136" i="4"/>
  <c r="D38" i="26"/>
  <c r="D34"/>
  <c r="D27"/>
  <c r="D74"/>
  <c r="D73" s="1"/>
  <c r="D52"/>
  <c r="B40"/>
  <c r="D40" s="1"/>
  <c r="B65"/>
  <c r="F140" i="4"/>
  <c r="C141"/>
  <c r="F34"/>
  <c r="F141"/>
  <c r="D121" i="26" s="1"/>
  <c r="F139" i="4"/>
  <c r="C142"/>
  <c r="C135"/>
  <c r="C140"/>
  <c r="F138"/>
  <c r="C137"/>
  <c r="F137"/>
  <c r="H26" i="13"/>
  <c r="J36" s="1"/>
  <c r="H35" s="1"/>
  <c r="C20" i="4"/>
  <c r="H3" i="2"/>
  <c r="I13" i="9"/>
  <c r="C382" i="5"/>
  <c r="C383"/>
  <c r="C381"/>
  <c r="E381" s="1"/>
  <c r="I12" i="13"/>
  <c r="I13" s="1"/>
  <c r="I14" s="1"/>
  <c r="I15" s="1"/>
  <c r="I16" s="1"/>
  <c r="I17" s="1"/>
  <c r="D27" i="15"/>
  <c r="B28"/>
  <c r="H27" i="13"/>
  <c r="G12"/>
  <c r="I19" s="1"/>
  <c r="J20" s="1"/>
  <c r="D9" i="14"/>
  <c r="H9" s="1"/>
  <c r="H5" s="1"/>
  <c r="G61" i="15"/>
  <c r="D10"/>
  <c r="G10"/>
  <c r="D17"/>
  <c r="D18" s="1"/>
  <c r="D26"/>
  <c r="D12" i="13"/>
  <c r="J12"/>
  <c r="C17"/>
  <c r="D17" s="1"/>
  <c r="C16"/>
  <c r="D16" s="1"/>
  <c r="C15"/>
  <c r="D15" s="1"/>
  <c r="H23" s="1"/>
  <c r="C14"/>
  <c r="D14" s="1"/>
  <c r="C13"/>
  <c r="D13" s="1"/>
  <c r="E9" i="14"/>
  <c r="I9" s="1"/>
  <c r="I5" s="1"/>
  <c r="F52"/>
  <c r="C31"/>
  <c r="E34" s="1"/>
  <c r="C14"/>
  <c r="C12"/>
  <c r="C16" s="1"/>
  <c r="G14" s="1"/>
  <c r="G17" s="1"/>
  <c r="H56"/>
  <c r="I55"/>
  <c r="D8"/>
  <c r="E8"/>
  <c r="I8" s="1"/>
  <c r="G8"/>
  <c r="G9"/>
  <c r="G5" s="1"/>
  <c r="C33"/>
  <c r="E39"/>
  <c r="E41"/>
  <c r="C55"/>
  <c r="C56"/>
  <c r="C57"/>
  <c r="C58"/>
  <c r="C59"/>
  <c r="C60"/>
  <c r="C61"/>
  <c r="C62"/>
  <c r="C63"/>
  <c r="C64"/>
  <c r="H12" i="13" l="1"/>
  <c r="D53" i="27"/>
  <c r="D106" s="1"/>
  <c r="C118" i="6"/>
  <c r="C119" s="1"/>
  <c r="E127" s="1"/>
  <c r="H127" s="1"/>
  <c r="D79" i="27"/>
  <c r="D108" s="1"/>
  <c r="D45"/>
  <c r="D105" s="1"/>
  <c r="D60"/>
  <c r="D107" s="1"/>
  <c r="D85"/>
  <c r="D109" s="1"/>
  <c r="F23"/>
  <c r="E23"/>
  <c r="F27"/>
  <c r="E27"/>
  <c r="F31"/>
  <c r="E31"/>
  <c r="F41"/>
  <c r="E41"/>
  <c r="E46"/>
  <c r="E48"/>
  <c r="E50"/>
  <c r="E61"/>
  <c r="E67"/>
  <c r="E70"/>
  <c r="F56"/>
  <c r="F88"/>
  <c r="F19"/>
  <c r="E19"/>
  <c r="F21"/>
  <c r="E21"/>
  <c r="F25"/>
  <c r="E25"/>
  <c r="E29"/>
  <c r="F29"/>
  <c r="F33"/>
  <c r="E33"/>
  <c r="E91"/>
  <c r="F91"/>
  <c r="F46"/>
  <c r="F61"/>
  <c r="B60" i="26"/>
  <c r="D60" s="1"/>
  <c r="B62"/>
  <c r="D62" s="1"/>
  <c r="D72"/>
  <c r="H14" i="6"/>
  <c r="B63" i="26" s="1"/>
  <c r="D63" s="1"/>
  <c r="J11" i="27"/>
  <c r="K21"/>
  <c r="L21"/>
  <c r="K57"/>
  <c r="L57"/>
  <c r="K63"/>
  <c r="L63"/>
  <c r="H136" i="6"/>
  <c r="K71" i="27"/>
  <c r="L71"/>
  <c r="E8"/>
  <c r="F8"/>
  <c r="B93" i="26"/>
  <c r="D93" s="1"/>
  <c r="J54" i="27"/>
  <c r="D116" s="1"/>
  <c r="K68"/>
  <c r="L68"/>
  <c r="E22"/>
  <c r="F22"/>
  <c r="E26"/>
  <c r="F26"/>
  <c r="E30"/>
  <c r="F30"/>
  <c r="E40"/>
  <c r="F40"/>
  <c r="E43"/>
  <c r="F43"/>
  <c r="E55"/>
  <c r="F55"/>
  <c r="E65"/>
  <c r="F65"/>
  <c r="E80"/>
  <c r="F80"/>
  <c r="E82"/>
  <c r="F82"/>
  <c r="E87"/>
  <c r="F87"/>
  <c r="K59"/>
  <c r="L59"/>
  <c r="K62"/>
  <c r="L62"/>
  <c r="L20"/>
  <c r="K20"/>
  <c r="B61" i="26"/>
  <c r="D61" s="1"/>
  <c r="B66"/>
  <c r="D66" s="1"/>
  <c r="J17" i="27"/>
  <c r="D113" s="1"/>
  <c r="K22"/>
  <c r="L22"/>
  <c r="K61"/>
  <c r="L61"/>
  <c r="K67"/>
  <c r="L67"/>
  <c r="E4"/>
  <c r="F4"/>
  <c r="L60"/>
  <c r="K60"/>
  <c r="L70"/>
  <c r="K70"/>
  <c r="E6"/>
  <c r="F6"/>
  <c r="D139" i="6"/>
  <c r="E20" i="27"/>
  <c r="F20"/>
  <c r="E24"/>
  <c r="F24"/>
  <c r="E28"/>
  <c r="F28"/>
  <c r="E32"/>
  <c r="F32"/>
  <c r="E42"/>
  <c r="F42"/>
  <c r="E47"/>
  <c r="F47"/>
  <c r="E49"/>
  <c r="F49"/>
  <c r="E54"/>
  <c r="F54"/>
  <c r="E66"/>
  <c r="F66"/>
  <c r="E69"/>
  <c r="F69"/>
  <c r="F81"/>
  <c r="E81"/>
  <c r="E83"/>
  <c r="F83"/>
  <c r="E86"/>
  <c r="F86"/>
  <c r="D140" i="6"/>
  <c r="H113"/>
  <c r="B69" i="26"/>
  <c r="D69" s="1"/>
  <c r="B100"/>
  <c r="E59" i="6"/>
  <c r="D142" s="1"/>
  <c r="H6"/>
  <c r="E85"/>
  <c r="E49"/>
  <c r="H59"/>
  <c r="C7"/>
  <c r="C107" s="1"/>
  <c r="D138"/>
  <c r="E91"/>
  <c r="H20"/>
  <c r="B44" i="26"/>
  <c r="B50"/>
  <c r="D100"/>
  <c r="B68"/>
  <c r="D68" s="1"/>
  <c r="B92"/>
  <c r="D94"/>
  <c r="B98"/>
  <c r="D98" s="1"/>
  <c r="B14"/>
  <c r="B67"/>
  <c r="D67" s="1"/>
  <c r="B96"/>
  <c r="D91"/>
  <c r="B95"/>
  <c r="D95" s="1"/>
  <c r="B102"/>
  <c r="D102" s="1"/>
  <c r="C22" i="6"/>
  <c r="C108" s="1"/>
  <c r="D109" i="26"/>
  <c r="D10"/>
  <c r="H134" i="6"/>
  <c r="H146"/>
  <c r="H147"/>
  <c r="H144"/>
  <c r="D7"/>
  <c r="D45" i="26"/>
  <c r="D44" s="1"/>
  <c r="D20"/>
  <c r="E15" i="6"/>
  <c r="D10" i="27" s="1"/>
  <c r="E17" i="6"/>
  <c r="D12" i="27" s="1"/>
  <c r="E21" i="6"/>
  <c r="D16" i="27" s="1"/>
  <c r="D19" i="26"/>
  <c r="D32"/>
  <c r="C11"/>
  <c r="C8" s="1"/>
  <c r="D21"/>
  <c r="E19" i="6"/>
  <c r="D14" i="27" s="1"/>
  <c r="D22" i="26"/>
  <c r="C100" i="6"/>
  <c r="B24" i="26"/>
  <c r="B39"/>
  <c r="E39" i="6"/>
  <c r="D35" i="27" s="1"/>
  <c r="E41" i="6"/>
  <c r="D37" i="27" s="1"/>
  <c r="E43" i="6"/>
  <c r="D39" i="27" s="1"/>
  <c r="C115" i="6"/>
  <c r="E126" s="1"/>
  <c r="D22"/>
  <c r="B11" i="26"/>
  <c r="B12"/>
  <c r="D12" s="1"/>
  <c r="B13"/>
  <c r="D13" s="1"/>
  <c r="E66" i="6"/>
  <c r="H141"/>
  <c r="E37" i="14"/>
  <c r="E33"/>
  <c r="E35"/>
  <c r="G33"/>
  <c r="I33" s="1"/>
  <c r="E10"/>
  <c r="F151" i="4"/>
  <c r="D158" i="26" s="1"/>
  <c r="F149" i="4"/>
  <c r="D153" i="26" s="1"/>
  <c r="D117"/>
  <c r="F164" i="4"/>
  <c r="D161" i="26" s="1"/>
  <c r="D132"/>
  <c r="F160" i="4"/>
  <c r="D156" i="26" s="1"/>
  <c r="D134"/>
  <c r="F168" i="4"/>
  <c r="D165" i="26" s="1"/>
  <c r="D133"/>
  <c r="F167" i="4"/>
  <c r="D164" i="26" s="1"/>
  <c r="D120"/>
  <c r="F171" i="4"/>
  <c r="D135" i="26"/>
  <c r="F157" i="4"/>
  <c r="D151" i="26" s="1"/>
  <c r="D129"/>
  <c r="F150" i="4"/>
  <c r="D157" i="26" s="1"/>
  <c r="D118"/>
  <c r="F155" i="4"/>
  <c r="D148" i="26" s="1"/>
  <c r="D127"/>
  <c r="F163" i="4"/>
  <c r="D160" i="26" s="1"/>
  <c r="D162" s="1"/>
  <c r="D119"/>
  <c r="F148" i="4"/>
  <c r="D142" i="26" s="1"/>
  <c r="D116"/>
  <c r="D90"/>
  <c r="C134" i="4"/>
  <c r="C14" i="26"/>
  <c r="D18"/>
  <c r="D17"/>
  <c r="D65"/>
  <c r="B30"/>
  <c r="D31"/>
  <c r="D36"/>
  <c r="D51"/>
  <c r="D50" s="1"/>
  <c r="D15"/>
  <c r="C33" i="4"/>
  <c r="C34" s="1"/>
  <c r="F146"/>
  <c r="E42" i="14"/>
  <c r="E40"/>
  <c r="E38"/>
  <c r="E36"/>
  <c r="D10"/>
  <c r="D11"/>
  <c r="H28" i="13"/>
  <c r="G29" s="1"/>
  <c r="G31"/>
  <c r="H32" s="1"/>
  <c r="E382" i="5"/>
  <c r="G23" i="7" s="1"/>
  <c r="E383" i="5"/>
  <c r="G24" i="7" s="1"/>
  <c r="G22"/>
  <c r="J13" i="13"/>
  <c r="J14" s="1"/>
  <c r="J15" s="1"/>
  <c r="J16" s="1"/>
  <c r="J17" s="1"/>
  <c r="I18" s="1"/>
  <c r="J18" s="1"/>
  <c r="C34" i="14"/>
  <c r="G34" s="1"/>
  <c r="G13" i="13"/>
  <c r="H13" s="1"/>
  <c r="C18"/>
  <c r="E12"/>
  <c r="E13"/>
  <c r="E14" s="1"/>
  <c r="E15" s="1"/>
  <c r="F12"/>
  <c r="F13" s="1"/>
  <c r="F14" s="1"/>
  <c r="F15" s="1"/>
  <c r="F16" s="1"/>
  <c r="F17" s="1"/>
  <c r="D18"/>
  <c r="E19"/>
  <c r="F20" s="1"/>
  <c r="E11" i="14"/>
  <c r="E12" s="1"/>
  <c r="E16" s="1"/>
  <c r="C65"/>
  <c r="F65" s="1"/>
  <c r="E55"/>
  <c r="F33"/>
  <c r="E14"/>
  <c r="D14"/>
  <c r="D12"/>
  <c r="D16" s="1"/>
  <c r="G71"/>
  <c r="H57"/>
  <c r="I56"/>
  <c r="G23"/>
  <c r="H24"/>
  <c r="C15"/>
  <c r="B58" i="26" l="1"/>
  <c r="D3" i="27"/>
  <c r="D103" s="1"/>
  <c r="F39"/>
  <c r="E39"/>
  <c r="F35"/>
  <c r="E35"/>
  <c r="F37"/>
  <c r="E37"/>
  <c r="D18"/>
  <c r="D104" s="1"/>
  <c r="J3"/>
  <c r="E36"/>
  <c r="F36"/>
  <c r="E16"/>
  <c r="F16"/>
  <c r="E10"/>
  <c r="F10"/>
  <c r="D137" i="6"/>
  <c r="D141" s="1"/>
  <c r="D157" s="1"/>
  <c r="K19" i="27"/>
  <c r="L19"/>
  <c r="K9"/>
  <c r="L9"/>
  <c r="E59"/>
  <c r="F59"/>
  <c r="E38"/>
  <c r="F38"/>
  <c r="E34"/>
  <c r="F34"/>
  <c r="E14"/>
  <c r="F14"/>
  <c r="E12"/>
  <c r="F12"/>
  <c r="D134" i="6"/>
  <c r="D135" s="1"/>
  <c r="D158" s="1"/>
  <c r="D147"/>
  <c r="E90" i="27"/>
  <c r="F90"/>
  <c r="E68"/>
  <c r="F68"/>
  <c r="K58"/>
  <c r="L58"/>
  <c r="K69"/>
  <c r="L69"/>
  <c r="L16"/>
  <c r="K16"/>
  <c r="K23"/>
  <c r="L23"/>
  <c r="L10"/>
  <c r="K10"/>
  <c r="K8"/>
  <c r="L8"/>
  <c r="D64" i="26"/>
  <c r="E100" i="6"/>
  <c r="D58" i="26"/>
  <c r="D57" i="6"/>
  <c r="D101" s="1"/>
  <c r="B64" i="26"/>
  <c r="D92"/>
  <c r="B89"/>
  <c r="B8"/>
  <c r="D39"/>
  <c r="B35"/>
  <c r="B42" s="1"/>
  <c r="D25"/>
  <c r="D24" s="1"/>
  <c r="D16"/>
  <c r="D14" s="1"/>
  <c r="E22" i="6"/>
  <c r="E7"/>
  <c r="C57"/>
  <c r="C101" s="1"/>
  <c r="D30" i="26"/>
  <c r="D11"/>
  <c r="C110" i="6"/>
  <c r="C121" s="1"/>
  <c r="C28" i="26"/>
  <c r="C56" s="1"/>
  <c r="C3" s="1"/>
  <c r="D9"/>
  <c r="D35"/>
  <c r="E384" i="5"/>
  <c r="E43" i="14"/>
  <c r="D123" i="26"/>
  <c r="D166"/>
  <c r="F165" i="4"/>
  <c r="F169"/>
  <c r="D139" i="26"/>
  <c r="D140" s="1"/>
  <c r="D143" s="1"/>
  <c r="F154" i="4"/>
  <c r="F179" s="1"/>
  <c r="D126" i="26"/>
  <c r="D136" s="1"/>
  <c r="F143" i="4"/>
  <c r="F36"/>
  <c r="F93" s="1"/>
  <c r="C92" s="1"/>
  <c r="F94" s="1"/>
  <c r="B55" i="26"/>
  <c r="D55"/>
  <c r="F152" i="4"/>
  <c r="E16" i="13"/>
  <c r="J23"/>
  <c r="G25" i="7"/>
  <c r="I34" i="14"/>
  <c r="G14" i="13"/>
  <c r="H14" s="1"/>
  <c r="E17"/>
  <c r="F18" s="1"/>
  <c r="C17" i="14"/>
  <c r="I14" s="1"/>
  <c r="I17" s="1"/>
  <c r="H14"/>
  <c r="H17" s="1"/>
  <c r="H58"/>
  <c r="I57"/>
  <c r="F55"/>
  <c r="D56" s="1"/>
  <c r="D15"/>
  <c r="D17" s="1"/>
  <c r="E15"/>
  <c r="E17" s="1"/>
  <c r="D110" i="27" l="1"/>
  <c r="D95"/>
  <c r="D146" i="6"/>
  <c r="E44" i="27"/>
  <c r="F44"/>
  <c r="E84"/>
  <c r="F84"/>
  <c r="E78"/>
  <c r="F78"/>
  <c r="D148" i="6"/>
  <c r="H142" s="1"/>
  <c r="H143" s="1"/>
  <c r="H108"/>
  <c r="E6"/>
  <c r="E57"/>
  <c r="D145"/>
  <c r="D164"/>
  <c r="D42" i="26"/>
  <c r="B28"/>
  <c r="B56" s="1"/>
  <c r="B3" s="1"/>
  <c r="G125" i="6"/>
  <c r="D8" i="26"/>
  <c r="D28" s="1"/>
  <c r="G39" i="7"/>
  <c r="G40" s="1"/>
  <c r="D137" i="26"/>
  <c r="F161" i="4"/>
  <c r="F162" s="1"/>
  <c r="D145" i="26"/>
  <c r="D146" s="1"/>
  <c r="D147" s="1"/>
  <c r="D149" s="1"/>
  <c r="D154" s="1"/>
  <c r="D159" s="1"/>
  <c r="D163" s="1"/>
  <c r="D167" s="1"/>
  <c r="F180" i="4"/>
  <c r="C93"/>
  <c r="F110"/>
  <c r="C109" s="1"/>
  <c r="F33" i="13"/>
  <c r="J33" s="1"/>
  <c r="I42" s="1"/>
  <c r="I41"/>
  <c r="G15"/>
  <c r="C35" i="14"/>
  <c r="E56"/>
  <c r="H59"/>
  <c r="I58"/>
  <c r="G22"/>
  <c r="F17"/>
  <c r="D149" i="6" l="1"/>
  <c r="D155" s="1"/>
  <c r="D162" s="1"/>
  <c r="D143"/>
  <c r="D156" s="1"/>
  <c r="D163" s="1"/>
  <c r="E17" i="27"/>
  <c r="F17"/>
  <c r="D83" i="26"/>
  <c r="E101" i="6"/>
  <c r="D56" i="26"/>
  <c r="D3" s="1"/>
  <c r="F44" i="7"/>
  <c r="G45" s="1"/>
  <c r="H79" i="6"/>
  <c r="J74" i="27" s="1"/>
  <c r="J65" s="1"/>
  <c r="D117" s="1"/>
  <c r="B40" i="7"/>
  <c r="A44" s="1"/>
  <c r="G38" i="13"/>
  <c r="C38" s="1"/>
  <c r="J43"/>
  <c r="F177" i="4"/>
  <c r="F166"/>
  <c r="F170" s="1"/>
  <c r="F176"/>
  <c r="C40" i="7"/>
  <c r="B44" s="1"/>
  <c r="C110" i="4"/>
  <c r="F111"/>
  <c r="F128" s="1"/>
  <c r="C127" s="1"/>
  <c r="H28" i="6" s="1"/>
  <c r="G35" i="14"/>
  <c r="H15" i="13"/>
  <c r="H60" i="14"/>
  <c r="I59"/>
  <c r="F56"/>
  <c r="D57" s="1"/>
  <c r="D165" i="6" l="1"/>
  <c r="D159"/>
  <c r="D150"/>
  <c r="D176" s="1"/>
  <c r="K25" i="27"/>
  <c r="L25"/>
  <c r="J24"/>
  <c r="D112" s="1"/>
  <c r="D119" s="1"/>
  <c r="E52"/>
  <c r="E95" s="1"/>
  <c r="H99" s="1"/>
  <c r="F52"/>
  <c r="F95" s="1"/>
  <c r="C99" s="1"/>
  <c r="L74"/>
  <c r="K74"/>
  <c r="B6" i="26"/>
  <c r="D103" i="6"/>
  <c r="H27"/>
  <c r="B5" i="26"/>
  <c r="D5" s="1"/>
  <c r="B101"/>
  <c r="H70" i="6"/>
  <c r="H100" s="1"/>
  <c r="D180"/>
  <c r="F178" i="4"/>
  <c r="D105" i="26"/>
  <c r="D104" s="1"/>
  <c r="F172" i="4"/>
  <c r="C128"/>
  <c r="G16" i="13"/>
  <c r="H16" s="1"/>
  <c r="I35" i="14"/>
  <c r="E57"/>
  <c r="H61"/>
  <c r="I60"/>
  <c r="J95" i="27" l="1"/>
  <c r="H135" i="6"/>
  <c r="H138" s="1"/>
  <c r="H157" s="1"/>
  <c r="D182" s="1"/>
  <c r="H114"/>
  <c r="H115" s="1"/>
  <c r="G126" s="1"/>
  <c r="H126" s="1"/>
  <c r="G128" s="1"/>
  <c r="B71" i="26"/>
  <c r="D71" s="1"/>
  <c r="D70" s="1"/>
  <c r="D82" s="1"/>
  <c r="H33" i="6"/>
  <c r="D101" i="26"/>
  <c r="D99" s="1"/>
  <c r="B99"/>
  <c r="B110" s="1"/>
  <c r="D179" i="6"/>
  <c r="D96" i="26"/>
  <c r="D89" s="1"/>
  <c r="H148" i="6"/>
  <c r="H149" s="1"/>
  <c r="H155" s="1"/>
  <c r="F181" i="4"/>
  <c r="F174"/>
  <c r="F175" s="1"/>
  <c r="C36" i="14"/>
  <c r="G17" i="13"/>
  <c r="H18" s="1"/>
  <c r="H62" i="14"/>
  <c r="I61"/>
  <c r="F57"/>
  <c r="D58" s="1"/>
  <c r="H163" i="6" l="1"/>
  <c r="G169" s="1"/>
  <c r="K30" i="27"/>
  <c r="K95" s="1"/>
  <c r="E99" s="1"/>
  <c r="L30"/>
  <c r="L95" s="1"/>
  <c r="J99" s="1"/>
  <c r="D110" i="26"/>
  <c r="D111" s="1"/>
  <c r="D177" i="6"/>
  <c r="H101"/>
  <c r="H102" s="1"/>
  <c r="D1" i="2" s="1"/>
  <c r="H107" i="6"/>
  <c r="H110" s="1"/>
  <c r="E125" s="1"/>
  <c r="H125" s="1"/>
  <c r="E128" s="1"/>
  <c r="H128" s="1"/>
  <c r="A129" s="1"/>
  <c r="H162"/>
  <c r="D174"/>
  <c r="D181"/>
  <c r="D178"/>
  <c r="B70" i="26"/>
  <c r="B82" s="1"/>
  <c r="B111" s="1"/>
  <c r="H17" i="13"/>
  <c r="G18"/>
  <c r="G36" i="14"/>
  <c r="E58"/>
  <c r="H63"/>
  <c r="I62"/>
  <c r="C6" i="26" l="1"/>
  <c r="D6" s="1"/>
  <c r="L99" i="27"/>
  <c r="L100" s="1"/>
  <c r="A100" s="1"/>
  <c r="A4" i="6"/>
  <c r="H121"/>
  <c r="H122" s="1"/>
  <c r="B4" i="26"/>
  <c r="G168" i="6"/>
  <c r="D173"/>
  <c r="I36" i="14"/>
  <c r="H64"/>
  <c r="I63"/>
  <c r="F58"/>
  <c r="D59" s="1"/>
  <c r="E59" s="1"/>
  <c r="F59" s="1"/>
  <c r="D60" s="1"/>
  <c r="E60" s="1"/>
  <c r="F60" s="1"/>
  <c r="D61" s="1"/>
  <c r="E61" s="1"/>
  <c r="F61" s="1"/>
  <c r="D62" s="1"/>
  <c r="E62" s="1"/>
  <c r="F62" s="1"/>
  <c r="D63" s="1"/>
  <c r="E63" s="1"/>
  <c r="F63" s="1"/>
  <c r="D64" s="1"/>
  <c r="E64" s="1"/>
  <c r="F64" s="1"/>
  <c r="D4" i="26" l="1"/>
  <c r="C37" i="14"/>
  <c r="G70"/>
  <c r="I72" s="1"/>
  <c r="D65"/>
  <c r="I64"/>
  <c r="G37" l="1"/>
  <c r="E65"/>
  <c r="I37" l="1"/>
  <c r="H65"/>
  <c r="I65" s="1"/>
  <c r="C38" l="1"/>
  <c r="G38" l="1"/>
  <c r="I38" l="1"/>
  <c r="C39" l="1"/>
  <c r="G39" l="1"/>
  <c r="I39" s="1"/>
  <c r="C40" l="1"/>
  <c r="G40" s="1"/>
  <c r="I40" s="1"/>
  <c r="C41" l="1"/>
  <c r="G41" s="1"/>
  <c r="I41" s="1"/>
  <c r="C42" l="1"/>
  <c r="G42" l="1"/>
  <c r="C43"/>
  <c r="G43" l="1"/>
  <c r="B44" s="1"/>
  <c r="I42"/>
  <c r="I43" s="1"/>
  <c r="G14" i="22"/>
  <c r="H150" i="6" l="1"/>
  <c r="H132" l="1"/>
  <c r="G132" s="1"/>
  <c r="H159" l="1"/>
  <c r="D175" s="1"/>
  <c r="H165" l="1"/>
  <c r="G170"/>
</calcChain>
</file>

<file path=xl/comments1.xml><?xml version="1.0" encoding="utf-8"?>
<comments xmlns="http://schemas.openxmlformats.org/spreadsheetml/2006/main">
  <authors>
    <author>Auteur</author>
  </authors>
  <commentList>
    <comment ref="B3" authorId="0">
      <text>
        <r>
          <rPr>
            <b/>
            <sz val="9"/>
            <color indexed="81"/>
            <rFont val="Tahoma"/>
            <family val="2"/>
          </rPr>
          <t>Auteur:</t>
        </r>
        <r>
          <rPr>
            <sz val="9"/>
            <color indexed="81"/>
            <rFont val="Tahoma"/>
            <family val="2"/>
          </rPr>
          <t xml:space="preserve">
Les deux exercices ci-dessous visent à vérifier que le journal, le bilan d'ouverture, de clôture et le résultat n'ont pas été altéré par la copie via internet. Faîtes un copier coller des cellules vertes du bilan ci-dessous dans le bilan d'ouverture. Le résultat absolu à trouver vous est donné en dessous. En cas de différence avec le résultat du bilan d'ouverture, vérifiez les chiffres copiés et collés , merci</t>
        </r>
      </text>
    </comment>
    <comment ref="B106" authorId="0">
      <text>
        <r>
          <rPr>
            <b/>
            <sz val="9"/>
            <color indexed="81"/>
            <rFont val="Tahoma"/>
            <family val="2"/>
          </rPr>
          <t>Auteur:</t>
        </r>
        <r>
          <rPr>
            <sz val="9"/>
            <color indexed="81"/>
            <rFont val="Tahoma"/>
            <family val="2"/>
          </rPr>
          <t xml:space="preserve">
Tout comme ci-dessus pour vérifier que le bilan d'ouverture n'a pas été altéré par la copie via internet, veuillez introduire toutes ces données ci-dessous dans le journal. Etant fastidieux, un simple copier coller vous permet d'obtenir le même résultat. La méthode comptable ci-dessous est au net en faisant sortir la valeur de la tva incorporée. Ici les montants sont fictifs pour simplifier le contrôle.
Une fois ces données introduits, les résultats que vous devez absolument obtenir sont repertoriés ci dessous : Résultat, EBE, Va, Marge.... En cas d'erreur bien que quasi impossible, vérifier que vous avez bien introduit toutes ces données au journal, puis vérifier son équilibre, vias  les alertes. Merci </t>
        </r>
      </text>
    </comment>
  </commentList>
</comments>
</file>

<file path=xl/comments2.xml><?xml version="1.0" encoding="utf-8"?>
<comments xmlns="http://schemas.openxmlformats.org/spreadsheetml/2006/main">
  <authors>
    <author>Auteur</author>
  </authors>
  <commentList>
    <comment ref="A2" authorId="0">
      <text>
        <r>
          <rPr>
            <b/>
            <sz val="9"/>
            <color indexed="81"/>
            <rFont val="Tahoma"/>
            <family val="2"/>
          </rPr>
          <t>Asseu
Tableau d'analyse de concordance entre le bilan d'ouverture et le bilan de clôture d'exercice. Le résultat d'exercice est la variation de fortune entre les deux bilans. Le résultat est donc la consommation ou prodction de fortune de l'entité sociale entreprise. En cas de résultat positif, la fortune de l'entreprise s'accroît vis et versa. Le résultat de cette variation des actifs des bilans doit être le résultat de l'exercice, ici au centime près. Toutefois, il peut arriver qu'avec les arrondis issus des factures et autres décomptes comptables, la concordance ne soit pas tout à fait juste. Ainsi une différence de 1à 2 francs selon la monnaie dans laquelle s'effectue la comptabilité,n'est pas trop grave. En cas de montant supérieur, cela est laissé à l'utilisateur du logiciel. Dans tout les cas, la non concordance, lisible avec l'alerte en dessous ,avec ce logiciel veut dire que la différence n'est pas de 0 absolu comme tout les calculs dans le logiciel, dans lequel nous avons préféré des calculs sans arrondis ni troncature pour mieux vérifier les calculs par des contrôles et alertes permanentes. Merci</t>
        </r>
      </text>
    </comment>
  </commentList>
</comments>
</file>

<file path=xl/sharedStrings.xml><?xml version="1.0" encoding="utf-8"?>
<sst xmlns="http://schemas.openxmlformats.org/spreadsheetml/2006/main" count="3225" uniqueCount="1686">
  <si>
    <t>Créances</t>
  </si>
  <si>
    <t>Autres dettes</t>
  </si>
  <si>
    <t>TVA due</t>
  </si>
  <si>
    <t>Pertes de change</t>
  </si>
  <si>
    <t>Gains de change</t>
  </si>
  <si>
    <t>ACTIF</t>
  </si>
  <si>
    <t>BRUT</t>
  </si>
  <si>
    <t>NET</t>
  </si>
  <si>
    <t>PASSIF</t>
  </si>
  <si>
    <t>amortissement</t>
  </si>
  <si>
    <t>charges financières</t>
  </si>
  <si>
    <t>TVA</t>
  </si>
  <si>
    <t>Balance débit</t>
  </si>
  <si>
    <t>Balance crédit</t>
  </si>
  <si>
    <t>Solde du compte</t>
  </si>
  <si>
    <t>Total</t>
  </si>
  <si>
    <t>N° Débit</t>
  </si>
  <si>
    <t>N°Crédit</t>
  </si>
  <si>
    <t>Montant HT</t>
  </si>
  <si>
    <t>Montant TTC</t>
  </si>
  <si>
    <t>Vérification Cpte Débit</t>
  </si>
  <si>
    <t>Véfication Cpte crédit</t>
  </si>
  <si>
    <t>Date</t>
  </si>
  <si>
    <t>DEBIT</t>
  </si>
  <si>
    <t>CREDIT</t>
  </si>
  <si>
    <t>SOLDE</t>
  </si>
  <si>
    <t>Montant</t>
  </si>
  <si>
    <t>Mobilier</t>
  </si>
  <si>
    <t>montant</t>
  </si>
  <si>
    <t>Duration en Jrs</t>
  </si>
  <si>
    <t>taux linéaire</t>
  </si>
  <si>
    <t>durée</t>
  </si>
  <si>
    <t>coéficient de dégrésivité</t>
  </si>
  <si>
    <t>jour d'acquisition</t>
  </si>
  <si>
    <t>annuité</t>
  </si>
  <si>
    <t>linéaire</t>
  </si>
  <si>
    <t>dégressif</t>
  </si>
  <si>
    <t xml:space="preserve">arithmétique </t>
  </si>
  <si>
    <t>remboursement</t>
  </si>
  <si>
    <t>dotation amort.</t>
  </si>
  <si>
    <t>cumul amort.</t>
  </si>
  <si>
    <t>capital rest.du</t>
  </si>
  <si>
    <t>année acquis.</t>
  </si>
  <si>
    <t>Totaux</t>
  </si>
  <si>
    <t>Amortissement</t>
  </si>
  <si>
    <t>cession de l'immobilisation date de cession ex 3 ème année</t>
  </si>
  <si>
    <t>prix de cession d'immobilisation</t>
  </si>
  <si>
    <t>Vente d' immobilisation</t>
  </si>
  <si>
    <t>Enregistrement de la dernière dotation</t>
  </si>
  <si>
    <t>Créance sur cession d'immobilisation</t>
  </si>
  <si>
    <t xml:space="preserve">Cession de l'immobilisation avant la fin de son amortissement </t>
  </si>
  <si>
    <t>Amortissement d'une immobilisation  en linéaire, degréssif, arithmétique et sa revente</t>
  </si>
  <si>
    <t>Décompte d'un amortissement financier linéaire à annuité constante sans établissement de tableau</t>
  </si>
  <si>
    <t>Emprunt</t>
  </si>
  <si>
    <t>Vérification</t>
  </si>
  <si>
    <t>Taux d'intérêt annuelle</t>
  </si>
  <si>
    <t>Durée mensuelle</t>
  </si>
  <si>
    <t>Durée annuelle</t>
  </si>
  <si>
    <t>Durée mensuelle totale</t>
  </si>
  <si>
    <t>Taux annuel</t>
  </si>
  <si>
    <t>annuités</t>
  </si>
  <si>
    <t>Intérets sur emprunts</t>
  </si>
  <si>
    <t xml:space="preserve">intérêts </t>
  </si>
  <si>
    <t>capital rest.dû</t>
  </si>
  <si>
    <t>Détermination des amort selon la période voulue</t>
  </si>
  <si>
    <t>vérification</t>
  </si>
  <si>
    <t>annuité =amortissement +intérets</t>
  </si>
  <si>
    <t>capital restant dû</t>
  </si>
  <si>
    <t xml:space="preserve">écritures de dotation </t>
  </si>
  <si>
    <t>Tableau classique et de vérification d'amortissement financier des emprunts avec anuité constante.</t>
  </si>
  <si>
    <t>taux</t>
  </si>
  <si>
    <t>jour d'emprunt</t>
  </si>
  <si>
    <t>intérets</t>
  </si>
  <si>
    <t>annuité constante</t>
  </si>
  <si>
    <t>amortissements prog</t>
  </si>
  <si>
    <t>totaux</t>
  </si>
  <si>
    <t>Tableau classique et de vérification d'amortissement financier des emprunts avec amortissement constant</t>
  </si>
  <si>
    <t>Amort constanr</t>
  </si>
  <si>
    <t>annuités dégres</t>
  </si>
  <si>
    <t>annuité de remboursement</t>
  </si>
  <si>
    <t>n° de comptes</t>
  </si>
  <si>
    <t>numéro de compte</t>
  </si>
  <si>
    <t>libellé de l'ecriture</t>
  </si>
  <si>
    <t>decompte de tva</t>
  </si>
  <si>
    <t>Debit/avoirs</t>
  </si>
  <si>
    <t>Crédit/devoirs</t>
  </si>
  <si>
    <t>année de remboursement ex 2</t>
  </si>
  <si>
    <t>Valeur comptable</t>
  </si>
  <si>
    <t>Enregistrement de la sortie de l'immobilisation</t>
  </si>
  <si>
    <t>Acquisition</t>
  </si>
  <si>
    <t>Montant amortissement</t>
  </si>
  <si>
    <t>Cummul</t>
  </si>
  <si>
    <t>Voulez-vous analyser quelle ligne d'amortissement (ex  10ème)</t>
  </si>
  <si>
    <t>MATHEMATIQUES FINANCIERES UTILE EN COMPTABILITE</t>
  </si>
  <si>
    <t>Calcul de la valeur actuelle d'une somme</t>
  </si>
  <si>
    <t>Détermination d'un placement à intérêt composé</t>
  </si>
  <si>
    <t xml:space="preserve">Détermination de la valeur actuelle d'une somme dans le futur </t>
  </si>
  <si>
    <t>Libellés</t>
  </si>
  <si>
    <t>emprunt</t>
  </si>
  <si>
    <t>Valeur actuelle</t>
  </si>
  <si>
    <t xml:space="preserve">vérification </t>
  </si>
  <si>
    <t>capital placée</t>
  </si>
  <si>
    <t>valeur actuelle</t>
  </si>
  <si>
    <t>Taux d'intérêt</t>
  </si>
  <si>
    <t>Taux d'intérêt / inflation</t>
  </si>
  <si>
    <t>durée annuelle</t>
  </si>
  <si>
    <t>valeure capitalisée</t>
  </si>
  <si>
    <t>valeur  actualisée dans le futur</t>
  </si>
  <si>
    <t>Intérêts  sur invest.</t>
  </si>
  <si>
    <t>Détermination du temps et du taux d'un placement financier</t>
  </si>
  <si>
    <t>Détermination du nombre d'années pour qu'une variable change</t>
  </si>
  <si>
    <t>Valeur initiale de  x</t>
  </si>
  <si>
    <t>base de données</t>
  </si>
  <si>
    <t>tx de plac.</t>
  </si>
  <si>
    <t>durée de plac.</t>
  </si>
  <si>
    <t>taux de croissance</t>
  </si>
  <si>
    <t>Investissement initiale</t>
  </si>
  <si>
    <t>nbre années</t>
  </si>
  <si>
    <t>valeur finale de x</t>
  </si>
  <si>
    <t>valeur act ou capit</t>
  </si>
  <si>
    <t>Vérification par durée</t>
  </si>
  <si>
    <t>Protection des placements avec adaptation dyn. Contre l'inflation</t>
  </si>
  <si>
    <t>Détarmination de capital rémunéré en début ou en fin de période</t>
  </si>
  <si>
    <t>Prime an périodique</t>
  </si>
  <si>
    <t>Montant à placer</t>
  </si>
  <si>
    <t>taux de rend</t>
  </si>
  <si>
    <t>Taux de rend (I)</t>
  </si>
  <si>
    <t>Tx d'aptation inflation Q&lt;&gt;I</t>
  </si>
  <si>
    <t xml:space="preserve">Capital en fin de de période </t>
  </si>
  <si>
    <t xml:space="preserve">Capital en début de période </t>
  </si>
  <si>
    <t>Vc de début de période</t>
  </si>
  <si>
    <t>VC de fin de période</t>
  </si>
  <si>
    <t>Rémunération des avoirs bancaires</t>
  </si>
  <si>
    <t>Versemts/ prélèvemts</t>
  </si>
  <si>
    <t>jours ex 15</t>
  </si>
  <si>
    <t>Mois ex 5</t>
  </si>
  <si>
    <t>Année ex 2013</t>
  </si>
  <si>
    <t xml:space="preserve">Nbre de jours / Taux </t>
  </si>
  <si>
    <t>Date de décpte intérêts</t>
  </si>
  <si>
    <t>Solde banque</t>
  </si>
  <si>
    <t>Intérêts reçus/ à payer</t>
  </si>
  <si>
    <t>Détermination de sa capacité d'emprunt</t>
  </si>
  <si>
    <t>Données</t>
  </si>
  <si>
    <t>Recherche</t>
  </si>
  <si>
    <t>Taux /an</t>
  </si>
  <si>
    <t>Mensualité</t>
  </si>
  <si>
    <t>Taux équivalent ou taux proportionnel que choisir ?</t>
  </si>
  <si>
    <t>Nbre Mois</t>
  </si>
  <si>
    <t>mensuel</t>
  </si>
  <si>
    <t>T équivalent</t>
  </si>
  <si>
    <t>T proportionnel</t>
  </si>
  <si>
    <t>Rq:  le taux équivalent est toujours inférieur à préférer en cas d'emprunt, inversement</t>
  </si>
  <si>
    <t>Total du capital</t>
  </si>
  <si>
    <t>Taux / an</t>
  </si>
  <si>
    <t>Nbre année</t>
  </si>
  <si>
    <t>Capital</t>
  </si>
  <si>
    <t>Épargne / mois</t>
  </si>
  <si>
    <t>Détermination d'une épargne avec prime mensuelle</t>
  </si>
  <si>
    <t>Vous êtes, le</t>
  </si>
  <si>
    <t>Droit au bail</t>
  </si>
  <si>
    <t>Matériel de transport</t>
  </si>
  <si>
    <t xml:space="preserve"> Participations</t>
  </si>
  <si>
    <t xml:space="preserve"> Créances rattachées à des participations</t>
  </si>
  <si>
    <t>Titres immobilisés actions</t>
  </si>
  <si>
    <t>Titres immobilisés obligations</t>
  </si>
  <si>
    <t xml:space="preserve"> Prêts consentits par l'entreprise</t>
  </si>
  <si>
    <t>clients debiteurs facture à etablir</t>
  </si>
  <si>
    <t>clients  acptes et avces  recus</t>
  </si>
  <si>
    <t>Bons du Trésor et bons de caisse à CT</t>
  </si>
  <si>
    <t>Autres VMP et créances assimilées</t>
  </si>
  <si>
    <t>Banques cpte en monnaie nationale</t>
  </si>
  <si>
    <t>Charges constatées d'avance</t>
  </si>
  <si>
    <t>Réserves statutaires ou contractuelles</t>
  </si>
  <si>
    <t>Réserves réglementées</t>
  </si>
  <si>
    <t>Dettes sur immobilisations</t>
  </si>
  <si>
    <t>Locations</t>
  </si>
  <si>
    <t>Malis sur emballages</t>
  </si>
  <si>
    <t>Autres produits</t>
  </si>
  <si>
    <t>Revenus des titres de participation</t>
  </si>
  <si>
    <t>Comptabilité générale, insérez vos données dans les cellules vertes uniquement</t>
  </si>
  <si>
    <t>AMORT ET PROV</t>
  </si>
  <si>
    <t>ACTIF IMMOBILISE</t>
  </si>
  <si>
    <t>CAPITAUX PROPRES</t>
  </si>
  <si>
    <t>Immobilisations Corporelles</t>
  </si>
  <si>
    <t>Total I</t>
  </si>
  <si>
    <t>Immobilisations financières</t>
  </si>
  <si>
    <t>Total II</t>
  </si>
  <si>
    <t>ACTIF CIRCULANT</t>
  </si>
  <si>
    <t>Stocks ,en-cours, marchandises</t>
  </si>
  <si>
    <t>Valeurs mobilières de placement</t>
  </si>
  <si>
    <t>Disponibilités</t>
  </si>
  <si>
    <t>Total III</t>
  </si>
  <si>
    <t>TOTAL GENERAL (I + II)</t>
  </si>
  <si>
    <t>TOTAL GENERAL (I + II + III)</t>
  </si>
  <si>
    <t>Ecart sur bilan</t>
  </si>
  <si>
    <t>Analyse sommaire du bilan fonctionnel</t>
  </si>
  <si>
    <t>Actifs ( valeur brute)</t>
  </si>
  <si>
    <t>Passif</t>
  </si>
  <si>
    <t>emplois stables</t>
  </si>
  <si>
    <t>ressources stables</t>
  </si>
  <si>
    <t>immo incorporelle</t>
  </si>
  <si>
    <t>kx propres</t>
  </si>
  <si>
    <t>immo corporelle</t>
  </si>
  <si>
    <t>amortissemnt et depreciation actif +Prev.risq et ch</t>
  </si>
  <si>
    <t>immo financ</t>
  </si>
  <si>
    <t>dettes fin hs ccb</t>
  </si>
  <si>
    <t>Actifs circulents</t>
  </si>
  <si>
    <t>produits circulents</t>
  </si>
  <si>
    <t>stocks</t>
  </si>
  <si>
    <t>dettes fournisseurs</t>
  </si>
  <si>
    <t>dettes fiscales et social</t>
  </si>
  <si>
    <t>trésorerie active</t>
  </si>
  <si>
    <t>trésorerie passive</t>
  </si>
  <si>
    <t>disponibilités</t>
  </si>
  <si>
    <t>concours bancaire</t>
  </si>
  <si>
    <t>Total général</t>
  </si>
  <si>
    <t>Calcul du fond net de roulement global, le besoin en fonds de roulement et la trésorerie de l'entreprise</t>
  </si>
  <si>
    <t>Le fonds de roulement net global (ressources stable - emplois stable)</t>
  </si>
  <si>
    <t>Vérification trésorerie nette (FRNG-BFR)</t>
  </si>
  <si>
    <t>Charges sociales</t>
  </si>
  <si>
    <t>COMPTABILITE DES DEBITEURS CLIENTS</t>
  </si>
  <si>
    <t>L'écriture comptable pour la facture d'acompte sur la vente de marchandises sera</t>
  </si>
  <si>
    <t>VENTE</t>
  </si>
  <si>
    <t>CLIENT</t>
  </si>
  <si>
    <t>L'écriture comptable de la facture de vente avec la réduction commerciale sera</t>
  </si>
  <si>
    <t>L'écriture comptable pour la facture d'avoir d'escompte, sera</t>
  </si>
  <si>
    <t>L'écriture comptable pour la reprise des emballages au prix de la consignation sera</t>
  </si>
  <si>
    <t>L'écriture comptable pour le retour d'emballages consignés à un prix inférieur de la consignation sera</t>
  </si>
  <si>
    <t>TVA SURVENTE</t>
  </si>
  <si>
    <t>L'écriture comptable pour la création de la perte sera</t>
  </si>
  <si>
    <t>L'écriture comptable pour l'ajustement de la provision sera</t>
  </si>
  <si>
    <t>L'écriture comptable pour l'annulation de la provision existante sera</t>
  </si>
  <si>
    <t>COMPTABILITE DES CREANCIERS  FOURNISSEURS</t>
  </si>
  <si>
    <t>L'écriture comptable de la facture avec la régularisation de l'acompte sera :</t>
  </si>
  <si>
    <t>L'écriture comptable pour la facture d'achat avec réductions commerciales sera</t>
  </si>
  <si>
    <t>L'écriture comptable pour la facture d'achat de marchandises avec frais de port sera</t>
  </si>
  <si>
    <t>L'écriture comptable de la facture d'achat avec escompte de règlement sera</t>
  </si>
  <si>
    <t>L'écriture comptable pour la facture d'acquisition intracommunautaire sera</t>
  </si>
  <si>
    <t>L'écriture comptable pour l'acompte de l'immobilisation sera</t>
  </si>
  <si>
    <t>BANQE</t>
  </si>
  <si>
    <t>L'écriture comptable de la facture avec la régularisation de l'acompte sera</t>
  </si>
  <si>
    <t>L'écriture comptable pour la facture d'avoir sur un escompte accordé pour règlement anticipé, sera</t>
  </si>
  <si>
    <t>L'écriture comptable pour la facture sur les cadeaux publicitaires sera  non deductible car superieur</t>
  </si>
  <si>
    <t>L'enregistrement comptable pour  l'obtention du prêt, sera</t>
  </si>
  <si>
    <t>L'enregistrement comptable pour le remboursement de la première annuité, sera</t>
  </si>
  <si>
    <t>L'écriture comptable pour la création de la provision sera</t>
  </si>
  <si>
    <t>L'écriture comptable pour la constatation de la sortie du bien immobilisé, sera</t>
  </si>
  <si>
    <t>L'enregistrement comptable du paiement des avances ou des acomptes</t>
  </si>
  <si>
    <t>L'écriture comptable pour les cotisations sociales salariales dues sera</t>
  </si>
  <si>
    <t>L'écriture comptable pour le paiement du salaire net sera</t>
  </si>
  <si>
    <t>Fonds commercial</t>
  </si>
  <si>
    <t>612</t>
  </si>
  <si>
    <t>MARGES BRUTE</t>
  </si>
  <si>
    <t>RESULTAT 1</t>
  </si>
  <si>
    <t>1011</t>
  </si>
  <si>
    <t>Capital souscrit, non appelé</t>
  </si>
  <si>
    <t>Capital souscrit, appelé, non versé</t>
  </si>
  <si>
    <t>Capital souscrit, appelé, versé, non amorti</t>
  </si>
  <si>
    <t>Primes d'émission</t>
  </si>
  <si>
    <t>Primes d'apport</t>
  </si>
  <si>
    <t>Primes de fusion</t>
  </si>
  <si>
    <t>Primes de conversion</t>
  </si>
  <si>
    <t>Autres primes</t>
  </si>
  <si>
    <t>Réserves légales</t>
  </si>
  <si>
    <t>Réserves facultatives et diverses</t>
  </si>
  <si>
    <t>Report à nouveau créditeur</t>
  </si>
  <si>
    <t>Report à nouveau débiteur</t>
  </si>
  <si>
    <t>Provision pour litiges</t>
  </si>
  <si>
    <t>Provision pour pertes  créances clients</t>
  </si>
  <si>
    <t>Provision pour pertes de change</t>
  </si>
  <si>
    <t>Provision pour impôt</t>
  </si>
  <si>
    <t>Provision pour charges à repartir sur plusieurs exercices</t>
  </si>
  <si>
    <t>Provisions pour grosses réparations</t>
  </si>
  <si>
    <t>Provisions pour amendes et pénalités</t>
  </si>
  <si>
    <t>Provisions sur des immobilisations</t>
  </si>
  <si>
    <t>Emprunt auprès des établissement de crédit</t>
  </si>
  <si>
    <t>Fournisseurs</t>
  </si>
  <si>
    <t>Fournisseurs étrangers</t>
  </si>
  <si>
    <t>Fournisseurs, Effets à payer</t>
  </si>
  <si>
    <t>Fournisseurs – étranger Effets à payer</t>
  </si>
  <si>
    <t>Fournisseurs  facture non parvenues</t>
  </si>
  <si>
    <t>Fournisseurs, intérêts courus</t>
  </si>
  <si>
    <t>Fournisseurs avances et acomptes versés</t>
  </si>
  <si>
    <t>Fournisseurs créances pour emballages et matériels à rendre</t>
  </si>
  <si>
    <t>Rabais, Remises, Ristournes et autres avoirs à obtenir</t>
  </si>
  <si>
    <t>Sécurité sociale , alloc familiale, accident travail, retraite obligatoire...</t>
  </si>
  <si>
    <t>Autres organismes sociaux</t>
  </si>
  <si>
    <t>Mutuelle , organismes. Sociaux, Autres charges à payer</t>
  </si>
  <si>
    <t>Associés, dividendes à payer</t>
  </si>
  <si>
    <t>Frais recherche et développement</t>
  </si>
  <si>
    <t>Amortissements. : frais R &amp;D</t>
  </si>
  <si>
    <t>Brevets, licences, concessions</t>
  </si>
  <si>
    <t>Amortissements. : brevets, licences</t>
  </si>
  <si>
    <t>Logiciels &amp; marques</t>
  </si>
  <si>
    <t>Amortissements des logiciels &amp;marques</t>
  </si>
  <si>
    <t>Amortissements. du fonds commercial</t>
  </si>
  <si>
    <t>Amortissements du droit au bail</t>
  </si>
  <si>
    <t>Investissements de création</t>
  </si>
  <si>
    <t>Amont. : investissements. création</t>
  </si>
  <si>
    <t>Autres droits, valeurs incorporelles.</t>
  </si>
  <si>
    <t>Amortissements. autres  valeurs incorporelles.</t>
  </si>
  <si>
    <t>Terrains agricoles, forestiers, nu, bâtit</t>
  </si>
  <si>
    <t>Bâtiments sur sol propre</t>
  </si>
  <si>
    <t>Amort. bâtim. industriels. sol propre</t>
  </si>
  <si>
    <t>Bâtiments sur sol d'autrui</t>
  </si>
  <si>
    <t>Amort. bâtiments. industriels. sol autrui</t>
  </si>
  <si>
    <t>Ouvrages d'infrastructure</t>
  </si>
  <si>
    <t>Amortissements. : ouvrages infrastructure</t>
  </si>
  <si>
    <t>Installations techniques</t>
  </si>
  <si>
    <t>Aménagement de bureaux</t>
  </si>
  <si>
    <t>Amortissements. : aménagement. bureaux</t>
  </si>
  <si>
    <t>Matériel, outillage industriel et commercial</t>
  </si>
  <si>
    <t>Amont. mat-outillage industriels.</t>
  </si>
  <si>
    <t>Matériel et outillage agricole</t>
  </si>
  <si>
    <t>Matériel informatique, mobilier</t>
  </si>
  <si>
    <t>Amortissements. matériel, mobilier</t>
  </si>
  <si>
    <t>Amortissements. matériel transport</t>
  </si>
  <si>
    <t>Immobilisations. animales, agricoles</t>
  </si>
  <si>
    <t>Autres immobilisation corporelles en cours</t>
  </si>
  <si>
    <t>Amortissements. : autres immobilisations corporelles en cours</t>
  </si>
  <si>
    <t>Avances, acomptes versés sur immobilisations</t>
  </si>
  <si>
    <t>Dépôt et Cautionnement versé par l'entreprise</t>
  </si>
  <si>
    <t xml:space="preserve"> Autres créances</t>
  </si>
  <si>
    <t>Marchandises</t>
  </si>
  <si>
    <t>Matières premières, fournitures</t>
  </si>
  <si>
    <t>Produits intermèdiaires., résiduels</t>
  </si>
  <si>
    <t>Clients</t>
  </si>
  <si>
    <t>client et organismes étrangers</t>
  </si>
  <si>
    <t>Clients, effets à recevoir</t>
  </si>
  <si>
    <t>Créances Cessions. courantes immobilisations.</t>
  </si>
  <si>
    <t>Clients effets. escomptés non échus</t>
  </si>
  <si>
    <t>Créances litigieuses douteuses</t>
  </si>
  <si>
    <t>Clients, dettes pour emballages et matériels consigné</t>
  </si>
  <si>
    <t>Personnel, avances, acomptes salaires</t>
  </si>
  <si>
    <t>Personnel rémunérations dues</t>
  </si>
  <si>
    <t>Associés apports en nature</t>
  </si>
  <si>
    <t>Associés apports en numéraire</t>
  </si>
  <si>
    <t>Associés, Actionnaires, capital souscrit appelé non versé</t>
  </si>
  <si>
    <t>Associés, versements reçus sur augmentation de capital</t>
  </si>
  <si>
    <t>Associés, autres apports</t>
  </si>
  <si>
    <t>Associés, compte courant</t>
  </si>
  <si>
    <t>VMP actions</t>
  </si>
  <si>
    <t>Actions propres</t>
  </si>
  <si>
    <t xml:space="preserve">VMP Obligations </t>
  </si>
  <si>
    <t>Banques hors Zone Franc</t>
  </si>
  <si>
    <t>Avoirs or, autres. métaux précieux</t>
  </si>
  <si>
    <t>Compte postal</t>
  </si>
  <si>
    <t>Caisses</t>
  </si>
  <si>
    <t>Achats de marchandises à taux réduit</t>
  </si>
  <si>
    <t>Achats de marchandises taux normal</t>
  </si>
  <si>
    <t>MP, fournitures &amp; Emb.  À taux réduit</t>
  </si>
  <si>
    <t>MP, fournitures &amp; Emb. À taux normal</t>
  </si>
  <si>
    <t>MP, fournitures &amp; Emb.à taux fort</t>
  </si>
  <si>
    <t>MP, fournitures &amp; Emb. dans l'UÉMOA à taux réduit</t>
  </si>
  <si>
    <t>MP, fournitures &amp; Emb. dans l'UÉMOA à taux normal</t>
  </si>
  <si>
    <t>MP, fournitures &amp; Emb. dans l'UÉMOA à taux fort</t>
  </si>
  <si>
    <t>Achats de marchandises hors UEMOA</t>
  </si>
  <si>
    <t>Autres frais d'achat et douanes</t>
  </si>
  <si>
    <t>Escomptes accordés à taux réduit</t>
  </si>
  <si>
    <t>Escomptes accordés à taux normal</t>
  </si>
  <si>
    <t>Escomptes accordés à taux fort</t>
  </si>
  <si>
    <t>Fournitures non stockables -Eau</t>
  </si>
  <si>
    <t>Fournitures non stockables - Electricité</t>
  </si>
  <si>
    <t>Fournitures non stockables – Autres énergies</t>
  </si>
  <si>
    <t>Fournitures d'entretien non stockables</t>
  </si>
  <si>
    <t>Fournitures de bureau et petit logiciel bureautique</t>
  </si>
  <si>
    <t>Achats de petit matériel et outillage</t>
  </si>
  <si>
    <t>Achats d'études et prestations de services</t>
  </si>
  <si>
    <t>Fournitures administratives</t>
  </si>
  <si>
    <t>Frais de transport sur achat</t>
  </si>
  <si>
    <t>Frais de transport sur vente</t>
  </si>
  <si>
    <t>Charges de sous traitance</t>
  </si>
  <si>
    <t>Location et charges locatives</t>
  </si>
  <si>
    <t>Locations de terrains</t>
  </si>
  <si>
    <t>Locations de bâtiments</t>
  </si>
  <si>
    <t>Locations de matériels et outillages</t>
  </si>
  <si>
    <t>Crédit-bail immobilier &amp; immobilier</t>
  </si>
  <si>
    <t>Maintenance  des appareils et outillages et autres entretien</t>
  </si>
  <si>
    <t>Assurances multirisques</t>
  </si>
  <si>
    <t>Assurances matériel de transport</t>
  </si>
  <si>
    <t>Assurances risques d'exploitation</t>
  </si>
  <si>
    <t>Assurances responsabilité du producteur</t>
  </si>
  <si>
    <t>Assurances insolvabilité clients</t>
  </si>
  <si>
    <t>Assurances transport sur achats</t>
  </si>
  <si>
    <t>Assurances transport sur ventes</t>
  </si>
  <si>
    <t>Autres primes d'assurances</t>
  </si>
  <si>
    <t>frais d'étude et documentation</t>
  </si>
  <si>
    <t>Annonces, insertions</t>
  </si>
  <si>
    <t>Catalogues, imprimés publicitaires</t>
  </si>
  <si>
    <t>Foires et expositions</t>
  </si>
  <si>
    <t>Publications</t>
  </si>
  <si>
    <t>Cadeaux à la clientèle</t>
  </si>
  <si>
    <t>Frais de colloques, séminaires, conférences</t>
  </si>
  <si>
    <t>Autres charges de publicité et relations publiques</t>
  </si>
  <si>
    <t>Frais de téléphone</t>
  </si>
  <si>
    <t>Frais d'internet</t>
  </si>
  <si>
    <t>Frais de télécopie</t>
  </si>
  <si>
    <t>Autres frais de télécommunications</t>
  </si>
  <si>
    <t>Honoraires</t>
  </si>
  <si>
    <t>Frais d'actes et de contentieux</t>
  </si>
  <si>
    <t>Divers frais</t>
  </si>
  <si>
    <t>Redevances pour brevets, licences, concessions et droits similaires</t>
  </si>
  <si>
    <t>Autres impôts, droit et autres enregistrements</t>
  </si>
  <si>
    <t>Cotisations</t>
  </si>
  <si>
    <t>Appointements salaires et commissions</t>
  </si>
  <si>
    <t>Primes et gratifications</t>
  </si>
  <si>
    <t>Congés payés</t>
  </si>
  <si>
    <t>Indemnités de préavis, de licenciement et de recherche d'embauche</t>
  </si>
  <si>
    <t>Indemnités de maladie versées aux travailleurs</t>
  </si>
  <si>
    <t>Supplément familial</t>
  </si>
  <si>
    <t>Avantages en nature</t>
  </si>
  <si>
    <t>Autres rémunérations directes</t>
  </si>
  <si>
    <t>Rémunérations. travail l'exploitant</t>
  </si>
  <si>
    <t>Intérêts des emprunts</t>
  </si>
  <si>
    <t>Autres charges financière et intérêts</t>
  </si>
  <si>
    <t>Pertes sur cessions de titres placement</t>
  </si>
  <si>
    <t>Dotations aux amortissements des immobilisations incorporelles</t>
  </si>
  <si>
    <t>Dotations aux amortissements des immobilisations corporelles</t>
  </si>
  <si>
    <t>Dot. amort.à caractère financier</t>
  </si>
  <si>
    <t>Dotat. aux provis. Financières</t>
  </si>
  <si>
    <t>Charges hors activité ordinaire</t>
  </si>
  <si>
    <t>perte sur créances devenue irrécouvrable</t>
  </si>
  <si>
    <t>Dons et libéralités accordés</t>
  </si>
  <si>
    <t>Charges provisionnées H.A.O. Stocks</t>
  </si>
  <si>
    <t>Charges provisionnées H.A.O. Tiers</t>
  </si>
  <si>
    <t>Charges provisionnées H.A.O. Trésorerie</t>
  </si>
  <si>
    <t>Valeurs comptables cess. Immob incorpo</t>
  </si>
  <si>
    <t>Valeurs comptables cess. Immob. Corpo</t>
  </si>
  <si>
    <t>Valeurs comptables cess. Immob. Finan</t>
  </si>
  <si>
    <t>Dotat. aux amort et prov.  Immob incorpo</t>
  </si>
  <si>
    <t>Dotat. aux amort et prov.  Immob corpo</t>
  </si>
  <si>
    <t>Dotat. aux amort et prov.  Immob finan</t>
  </si>
  <si>
    <t>Ventes Mach  &amp; P fini  à taux réduit</t>
  </si>
  <si>
    <t>Ventes Mach  &amp; P fini  à taux normal</t>
  </si>
  <si>
    <t>Ventes Mach  &amp; P fini  à taux fort</t>
  </si>
  <si>
    <t>Produits interm. &amp; résiduels à taux réduit</t>
  </si>
  <si>
    <t>Produits interm. &amp; résideuels à taux normal</t>
  </si>
  <si>
    <t>Produits interm. &amp; résiduels à taux fort</t>
  </si>
  <si>
    <t>Services vendus  à taux réduit</t>
  </si>
  <si>
    <t>Services vendus à taux normal</t>
  </si>
  <si>
    <t>Services vendus à taux fort</t>
  </si>
  <si>
    <t>Ventes Mach  &amp; P fini UEMOA  &amp; RDM à taux réduit</t>
  </si>
  <si>
    <t>Ventes Mach  &amp; P fini UEMOA  &amp; RDM à taux normal</t>
  </si>
  <si>
    <t>Ventes Mach  &amp; P fini UEMOA  &amp; RDM à taux fort</t>
  </si>
  <si>
    <t>Produits interm. &amp; résiduels UÉMOA &amp; RDM à taux réduit</t>
  </si>
  <si>
    <t>Produits interm. &amp; résiduels UÉMOA &amp; RDM à taux normal</t>
  </si>
  <si>
    <t>Produits interm. &amp; résiduels UÉMOA &amp; RDM à taux fort</t>
  </si>
  <si>
    <t>Services vendus UÉMOA &amp;RDM à taux réduit</t>
  </si>
  <si>
    <t>Services vendus UÉMOA &amp;RDM à taux normal</t>
  </si>
  <si>
    <t>Services vendus UÉMOA &amp;RDM à taux fort</t>
  </si>
  <si>
    <t>Autoconsommation à taux réduit</t>
  </si>
  <si>
    <t>Autoconsommation à taux normal</t>
  </si>
  <si>
    <t>Autoconsommation à taux fort</t>
  </si>
  <si>
    <t>Escomptes obtenus à taux réduit</t>
  </si>
  <si>
    <t>Escomptes obtenus à taux normal</t>
  </si>
  <si>
    <t>Escomptes obtenus à taux fort</t>
  </si>
  <si>
    <t>Variations. Mat. premières, fournit. Aug</t>
  </si>
  <si>
    <t>Variations. Autres approvisionnement. Aug</t>
  </si>
  <si>
    <t>Boni/reprises, cess. emballages</t>
  </si>
  <si>
    <t>Mise à disposition de personnel</t>
  </si>
  <si>
    <t>Redevances brevets, logiciels</t>
  </si>
  <si>
    <t>Subventions d'exploitation (export &amp; import)</t>
  </si>
  <si>
    <t>Autres subventions exploitation</t>
  </si>
  <si>
    <t>Revenus de participations</t>
  </si>
  <si>
    <t>Revenus de titres de placement</t>
  </si>
  <si>
    <t>Gains Cessions titres placement</t>
  </si>
  <si>
    <t>Gains sur risques financiers</t>
  </si>
  <si>
    <t>Reprise Sur risques financiers</t>
  </si>
  <si>
    <t>Reprises Sur titres de placement</t>
  </si>
  <si>
    <t>Produit de cession sur les immob. Incorporelles</t>
  </si>
  <si>
    <t>Produit de cession sur les immob. Corporelles</t>
  </si>
  <si>
    <t>Produit de cession sur les immob. Financ.</t>
  </si>
  <si>
    <t>Produits hors activité ordinaire</t>
  </si>
  <si>
    <t>Dons et libéralités obtenus</t>
  </si>
  <si>
    <t>Reprises sur Charges provisionnées H.A.O.</t>
  </si>
  <si>
    <t>Reprises provisions réglementées</t>
  </si>
  <si>
    <t>Reprises d'amortissements H.A.O.</t>
  </si>
  <si>
    <t>Repris. provis. dépréc. H.A.O.</t>
  </si>
  <si>
    <t>Autres Reprises H.A.O.</t>
  </si>
  <si>
    <t>Etat impôt sur les bénéfices</t>
  </si>
  <si>
    <t>Impôt sur les bénéfice de l'exercices</t>
  </si>
  <si>
    <t>résultat avant impôt</t>
  </si>
  <si>
    <t>Impôts et taxes dividendes et intérêts des associés</t>
  </si>
  <si>
    <t>Taux modifiables</t>
  </si>
  <si>
    <t>T.V.A. facturée sur ventes</t>
  </si>
  <si>
    <t>État, T.V.A. due</t>
  </si>
  <si>
    <t>T.V.A. récupérable sur immobilisations</t>
  </si>
  <si>
    <t>T.V.A. récupérable intracommunautaire</t>
  </si>
  <si>
    <t>T.V.A. récupérable sur achats</t>
  </si>
  <si>
    <t>État, crédit de T.V.A. à reporter</t>
  </si>
  <si>
    <t>Immobilisations incorporelles</t>
  </si>
  <si>
    <t xml:space="preserve">Capital souscrit, appelé, non versé </t>
  </si>
  <si>
    <t>Réserves</t>
  </si>
  <si>
    <t xml:space="preserve">Provisions pour grosses réparations </t>
  </si>
  <si>
    <t xml:space="preserve">Fournisseurs </t>
  </si>
  <si>
    <t xml:space="preserve">Fournisseurs étrangers </t>
  </si>
  <si>
    <t xml:space="preserve">Fournisseurs avances et acomptes versés </t>
  </si>
  <si>
    <t xml:space="preserve">Associés apports en nature </t>
  </si>
  <si>
    <t xml:space="preserve">Associés apports en numéraire </t>
  </si>
  <si>
    <t xml:space="preserve">Associés, versements reçus sur augmentation de capital </t>
  </si>
  <si>
    <t>Dettes fiscale et sociales</t>
  </si>
  <si>
    <t>Besoin en fonds de roulement ( actif circ. Hs trésorerie-resources circulent hs trésorerie</t>
  </si>
  <si>
    <t>Libéllée d'écriture</t>
  </si>
  <si>
    <t xml:space="preserve">Banques cpte en monnaie nationale </t>
  </si>
  <si>
    <t xml:space="preserve"> Compte de Résultat</t>
  </si>
  <si>
    <t>Charges</t>
  </si>
  <si>
    <t>Produits</t>
  </si>
  <si>
    <t>RESULTA 2</t>
  </si>
  <si>
    <t>Charges exceptionnelles</t>
  </si>
  <si>
    <t>Produits exceptionnels</t>
  </si>
  <si>
    <t>Résultat bénéfice</t>
  </si>
  <si>
    <t>Compte</t>
  </si>
  <si>
    <t>Libellé</t>
  </si>
  <si>
    <t>ENREGISTREMENT HORS ACTIVITE</t>
  </si>
  <si>
    <t>L'écriture comptable pour l'augmentation de capital</t>
  </si>
  <si>
    <t>Nombre d'actions émises</t>
  </si>
  <si>
    <t>Nominal d'action</t>
  </si>
  <si>
    <t>Prix à l'émission</t>
  </si>
  <si>
    <t>L'écriture comptable pour la souscription</t>
  </si>
  <si>
    <t>L'écriture comptable pour la convertion de dettes en action</t>
  </si>
  <si>
    <t>Dettes en vers les associés</t>
  </si>
  <si>
    <t>Prix d'émission convenue entre les parties</t>
  </si>
  <si>
    <t>Actionnaires, capital souscrit appelé non versé</t>
  </si>
  <si>
    <t>L'écriture comptable pour annulation de la dette</t>
  </si>
  <si>
    <t>Associés compte courant</t>
  </si>
  <si>
    <t xml:space="preserve">Actionnaires, capital souscrit appelé non versé </t>
  </si>
  <si>
    <t>L'écriture comptable pour distribution d'une partie des réserves en action</t>
  </si>
  <si>
    <t>Montant des réserves</t>
  </si>
  <si>
    <t>Nombre d'actions</t>
  </si>
  <si>
    <t>Réserves facultatives</t>
  </si>
  <si>
    <t>Décompte d'impôt sur les sociétés ainsi que l'affectation du résultat et leur comptabilisation</t>
  </si>
  <si>
    <t>Capital action de la société</t>
  </si>
  <si>
    <t>En pourcentage libéré</t>
  </si>
  <si>
    <t>Nombres d'actions</t>
  </si>
  <si>
    <t>nominal</t>
  </si>
  <si>
    <t>Répartition bénéfice</t>
  </si>
  <si>
    <t>Résultat issus de l'exercice</t>
  </si>
  <si>
    <t>Report à nouveau Créditeur</t>
  </si>
  <si>
    <t>Charges non déductibles</t>
  </si>
  <si>
    <t>Charges non incorporables</t>
  </si>
  <si>
    <t>Taux is dans le pays</t>
  </si>
  <si>
    <t>Résultat net</t>
  </si>
  <si>
    <t>Résultat net de l'exercice</t>
  </si>
  <si>
    <t>Résultat net à repartir</t>
  </si>
  <si>
    <t>Réserve légal</t>
  </si>
  <si>
    <t>dotation</t>
  </si>
  <si>
    <t>Réserve statutaire</t>
  </si>
  <si>
    <t>Solde</t>
  </si>
  <si>
    <t>Report à nvx Créditeur</t>
  </si>
  <si>
    <t>Réserve facultative</t>
  </si>
  <si>
    <t>Superdividende</t>
  </si>
  <si>
    <t>superdividende</t>
  </si>
  <si>
    <t>Report à nouveau</t>
  </si>
  <si>
    <t>Dividende globale a distribuer aux actionnaires</t>
  </si>
  <si>
    <t>Taxe de l' état sur les dividendes</t>
  </si>
  <si>
    <t>Dividende net à distribuer</t>
  </si>
  <si>
    <t>L'enregistrement comptable de l'impôt sur les sociétés</t>
  </si>
  <si>
    <t>impôt sur bénéfice de l'exe</t>
  </si>
  <si>
    <t>ÉTAT, impôt sur le résultat</t>
  </si>
  <si>
    <t>résultat net de l'exercice</t>
  </si>
  <si>
    <t>L'enregistrement comptable de l'affectation du résultat</t>
  </si>
  <si>
    <t>report à nvx débiteur</t>
  </si>
  <si>
    <t>CONSTITUTION DES SOCIÉTÉES</t>
  </si>
  <si>
    <t>CONSTITUTION D'UNE SARL</t>
  </si>
  <si>
    <t>Constitution de la société avec libération total des apports ou pas</t>
  </si>
  <si>
    <t>décompte des apports en nature</t>
  </si>
  <si>
    <t>décompte des apports en numéraires</t>
  </si>
  <si>
    <t>Taux de libération</t>
  </si>
  <si>
    <t>L'écriture comptable pour la facture de vente avec la régularisation de l'acompte sera</t>
  </si>
  <si>
    <t>Ventes Mach  &amp; P fini  à 18,5%</t>
  </si>
  <si>
    <t>L'écriture comptable de la facture de vente de marchandises avec frais de port sera</t>
  </si>
  <si>
    <t>L'écriture comptable pour la facture de vente uemoa et RDM sera:</t>
  </si>
  <si>
    <t>Ventes Mach  &amp; P fini UEMOA  &amp; RDM à 18.5%</t>
  </si>
  <si>
    <t>L'écriture comptable pour la facture d'avoir sur retour de marchandises sera</t>
  </si>
  <si>
    <t>L'écriture comptable pour la facture avec consignation des emballages récupérables sera</t>
  </si>
  <si>
    <t>Dette pour emballage</t>
  </si>
  <si>
    <t>L'écriture comptable pour la non restitution d'emballages consignés sera</t>
  </si>
  <si>
    <t xml:space="preserve">T.V.A. facturée sur ventes </t>
  </si>
  <si>
    <t>Montant de la créance client en N</t>
  </si>
  <si>
    <t>Perte probable estimée en %</t>
  </si>
  <si>
    <t>Ecart de provision</t>
  </si>
  <si>
    <t>L'écriture comptable pour la constatation de la perte sera</t>
  </si>
  <si>
    <t>Provisions constituées</t>
  </si>
  <si>
    <t>Provisions à reprendre</t>
  </si>
  <si>
    <t>L'écriture compte de l'acompte versé sera</t>
  </si>
  <si>
    <t>Banque en monnaie nationale</t>
  </si>
  <si>
    <t>Matériel et mobilier</t>
  </si>
  <si>
    <t>Tva sur vente</t>
  </si>
  <si>
    <t>L'écriture comptable pour la facture sur les cadeaux publicitaires sera deduite de la tav car PU ttc&lt;2500 FCFA</t>
  </si>
  <si>
    <t>L'enregistrement comptable pour l'achat d'un véhicule de tourisme</t>
  </si>
  <si>
    <t>L'enregistrement comptable pour les véhicules utilitaires</t>
  </si>
  <si>
    <t>L'écriture comptable de la facture de transport</t>
  </si>
  <si>
    <t>611</t>
  </si>
  <si>
    <t>Frais de transport sur achats</t>
  </si>
  <si>
    <t>L'écriture d'achat d'emballages perdus sera</t>
  </si>
  <si>
    <t>Débit</t>
  </si>
  <si>
    <t>Crédit</t>
  </si>
  <si>
    <t>MP, fournitures &amp; Emb. À 18.5%</t>
  </si>
  <si>
    <t>L'écriture d'achat d'emballages récupérables identifiables sera</t>
  </si>
  <si>
    <t>L'écriture  d'achat d'emballages récupérables non identifiables sera</t>
  </si>
  <si>
    <t>L'écriture d'achat avec la consignation des emballages sera</t>
  </si>
  <si>
    <t>L'écriture du retour d'emballages consignés sera</t>
  </si>
  <si>
    <t>L'écriture du retour des emballages consignés si au dessous de la consigne sera</t>
  </si>
  <si>
    <t>L'écriture si non restitution des emballages consignés sera</t>
  </si>
  <si>
    <t>METHODES D'ENREGISTREMENT DES DECOMPTES DE SALAIRES</t>
  </si>
  <si>
    <t>Personnel, avances, accomptes salaires</t>
  </si>
  <si>
    <t>L’enregistrement comptable du salaire brut</t>
  </si>
  <si>
    <t>Personnelles rémunération dues</t>
  </si>
  <si>
    <t>L'enregistrement comptable du paiement des charges sociales</t>
  </si>
  <si>
    <t>COMPTABILISATION DES ACHATS  ET VENTES HORS UEMOA AVEC CHANGE</t>
  </si>
  <si>
    <t>L'écriture comptable pour la facture avec le cours du change sera</t>
  </si>
  <si>
    <t>CHANGE TAUX Mon.étrangère</t>
  </si>
  <si>
    <t>ACHAT DE MARCHANDISE Mon.etr</t>
  </si>
  <si>
    <t>L'écriture comptable pour le règlement si le cours baisse</t>
  </si>
  <si>
    <t>CHANGE TAUX</t>
  </si>
  <si>
    <t>Gain de change</t>
  </si>
  <si>
    <t>L'écriture comptable pour le reglement si le cours augmente</t>
  </si>
  <si>
    <t>Perte de change</t>
  </si>
  <si>
    <t>COMPTABILISATION DES ACHATA HORS UEMOA AVEC CHANGE ET AVANCE AUX FOURNISSEURS</t>
  </si>
  <si>
    <t>L'écriture comptable de l'acompte avec le cours du change sera</t>
  </si>
  <si>
    <t>ACOMPTE VERSE Mon.etr</t>
  </si>
  <si>
    <t>perte de change</t>
  </si>
  <si>
    <t>COMPTABILISATION DES VENTES HORS UEMOA AVEC CHANGE</t>
  </si>
  <si>
    <t>CHANGE TAUX Mon. Etr</t>
  </si>
  <si>
    <t>VENTE EXPORTATION Mon.etr</t>
  </si>
  <si>
    <t>L'écriture comptable pour le reglement si le cours monte</t>
  </si>
  <si>
    <t>gain de change</t>
  </si>
  <si>
    <t>L'écriture comptable pour le reglement si le cours baisse</t>
  </si>
  <si>
    <t>COMPTABILISATION DES VENTES HORS UEMOA AVEC CHANGE ET AVANCE CLIENT</t>
  </si>
  <si>
    <t>acomptes versé  Mon. Etr</t>
  </si>
  <si>
    <t>L'écriture comptable pour le règlement si le cours monte</t>
  </si>
  <si>
    <t>GAIN DE CHANGE</t>
  </si>
  <si>
    <t>METHODES  D'ENREGISTREMENT DES AMORTISSEMENTS ET PROVISIONS SUR ACTIFS</t>
  </si>
  <si>
    <t>L'enregistrement comptable de la constitution des provisions pour réparation</t>
  </si>
  <si>
    <t>L'enregistrement comptable de la facture des travaux</t>
  </si>
  <si>
    <t>L'enregistrement comptable pour paiement de la facture</t>
  </si>
  <si>
    <t>banques cpte en monnaie nationale</t>
  </si>
  <si>
    <t>L'enregistrement comptable de l'annulation des provisions</t>
  </si>
  <si>
    <t>L'écriture pour le règlement du litige sera</t>
  </si>
  <si>
    <t>En cas d'anulation des  provisions</t>
  </si>
  <si>
    <t xml:space="preserve">Soit une cession d'immobilisation amorti d'un véhicule industriel dont la valeur d'origine était de </t>
  </si>
  <si>
    <t>Vendu</t>
  </si>
  <si>
    <t>Produits de cessions Immobilisations corporelles</t>
  </si>
  <si>
    <t xml:space="preserve">Soit une cession d'immobilisation  non amorti d'un véhicule industriel dont la valeur d'origine était de </t>
  </si>
  <si>
    <t>L'enregistrement comptable du dépôt de caution du crédit bail</t>
  </si>
  <si>
    <t>Dépôt et Caution versé par l'entreprise</t>
  </si>
  <si>
    <t>L'enregistrement comptable de la redevance annuelle du crédit bail</t>
  </si>
  <si>
    <t>L'enregistrement comptable de la part du crédit bail qui resterait à payer de l'exercice</t>
  </si>
  <si>
    <t>METHODES D'ENREGISTREMENT DES IMMOBILISATIONS</t>
  </si>
  <si>
    <t>Acquisition des titres de participation</t>
  </si>
  <si>
    <t>valeur des titres</t>
  </si>
  <si>
    <t>frais bancaire et achats</t>
  </si>
  <si>
    <t>Prix des titres</t>
  </si>
  <si>
    <t>L'écriture comptable pour l'acquisition des titres de participation</t>
  </si>
  <si>
    <t>Cession des titres de participation</t>
  </si>
  <si>
    <t>Valeur du titre</t>
  </si>
  <si>
    <t>Prix de cession</t>
  </si>
  <si>
    <t>L'écriture comptable en cas de perte sur cession des titre sera</t>
  </si>
  <si>
    <t>L'écriture comptable en cas de produit sur la cession des titres, sera</t>
  </si>
  <si>
    <t>L'écriture comptable des revenus issus des participations sera</t>
  </si>
  <si>
    <t>Créances ratachées à des participations</t>
  </si>
  <si>
    <t>Acquisition des autres titres immobilisés 271 actions, 272 obligations</t>
  </si>
  <si>
    <t>La société achète des obligations</t>
  </si>
  <si>
    <t>prix de l'obligation</t>
  </si>
  <si>
    <t>commission bancaire et autres frais</t>
  </si>
  <si>
    <t>L'écriture comptable d' achat des autres titres  sera</t>
  </si>
  <si>
    <t>Autres titres immobilisés – Obligations</t>
  </si>
  <si>
    <t>Cessions des autres titres immobilisés</t>
  </si>
  <si>
    <t>nombre cédés</t>
  </si>
  <si>
    <t>prix de cession</t>
  </si>
  <si>
    <t>Frais de service bancaire HT</t>
  </si>
  <si>
    <t>total</t>
  </si>
  <si>
    <t>L'écriture comptable pour la cession  sera</t>
  </si>
  <si>
    <t>Enregistrement de la sortie du patrimoine</t>
  </si>
  <si>
    <t>Revenus des autres titres immobilisés actions ou obligations</t>
  </si>
  <si>
    <t>Les dividendes de nos  actions ou parts sociales  détenues</t>
  </si>
  <si>
    <t>L'écriture comptable pour les revenus des autres titres immobilisés, sera</t>
  </si>
  <si>
    <t>La société achète des actions</t>
  </si>
  <si>
    <t>prix de l'action</t>
  </si>
  <si>
    <t>commission bancaire et frais d'achats</t>
  </si>
  <si>
    <t>L'écriture comptable pour l'acquisition de VMP , sera</t>
  </si>
  <si>
    <t>Cession de VMP</t>
  </si>
  <si>
    <t>L'écriture comptable pour la cession des titres VMP avec gains  , sera</t>
  </si>
  <si>
    <t>L'écriture comptable pour la cession de VMP avec pertes, sera</t>
  </si>
  <si>
    <t>Revenus perçus sur le portefeuille des VMP</t>
  </si>
  <si>
    <t>L'écriture comptable pour les revenus issus des VMP, sera</t>
  </si>
  <si>
    <t>Acquisition d’immobilisation corporelle ex 2154 Matériel industriel avec acompte</t>
  </si>
  <si>
    <t>Prix d’achat HT du matériel</t>
  </si>
  <si>
    <t>Frais d’acquisition HT</t>
  </si>
  <si>
    <t>Montant Brut commercial</t>
  </si>
  <si>
    <t>Remise obtenues</t>
  </si>
  <si>
    <t>Montant net commercial</t>
  </si>
  <si>
    <t>Net commercial et TVA</t>
  </si>
  <si>
    <t>Avance sur immobilisation</t>
  </si>
  <si>
    <t>Net à payer TTC</t>
  </si>
  <si>
    <t>L’écriture d’acquisition est donc la suivante :</t>
  </si>
  <si>
    <t>Matériel industriel</t>
  </si>
  <si>
    <t>Coût d’acquisition d'un terrain et enregistrement</t>
  </si>
  <si>
    <t>La société acquiert un terrain pour une valeur de</t>
  </si>
  <si>
    <t>Les droits d’enregistrement s’élèvent à</t>
  </si>
  <si>
    <t>Les frais de notaires sont de</t>
  </si>
  <si>
    <t>Acquisition d’infrastructure informatique  et charges admin</t>
  </si>
  <si>
    <t>Intitulé</t>
  </si>
  <si>
    <t>La société achète un ordinateur pour</t>
  </si>
  <si>
    <t>Prix d’achat HT de l’ordinateur :</t>
  </si>
  <si>
    <t>Imprimante laser</t>
  </si>
  <si>
    <t>Remise de</t>
  </si>
  <si>
    <t>Frais d’installation</t>
  </si>
  <si>
    <t>Logiciel office</t>
  </si>
  <si>
    <t>Ramette de papier</t>
  </si>
  <si>
    <t>Cartouche d’imprimante</t>
  </si>
  <si>
    <t>L’écriture de l’acquisition est donc la suivante :</t>
  </si>
  <si>
    <t>L’entreprise  construit un entrepôt sur un de ses terrains</t>
  </si>
  <si>
    <t>Matériaux d’un montant de</t>
  </si>
  <si>
    <t>M O directe : salaires et Charges sociales</t>
  </si>
  <si>
    <t>Charges indirectes estimées</t>
  </si>
  <si>
    <t>Totaux coût de l'immobilisation</t>
  </si>
  <si>
    <t>Enregistrement comptable :</t>
  </si>
  <si>
    <t>Les immobilisations produites par l’entreprise pour elle même sur un exercice</t>
  </si>
  <si>
    <t>Construction ou production à soi-même d’un entrepôt</t>
  </si>
  <si>
    <t>fourniture et matière première</t>
  </si>
  <si>
    <t>Main d'œuvre et Ch soc.</t>
  </si>
  <si>
    <t>autres charges</t>
  </si>
  <si>
    <t>Les immobilisations produites par l’entreprise pour elle même sur  plusieurs  exercices</t>
  </si>
  <si>
    <t>Dépense supplémentaire en fin de TV</t>
  </si>
  <si>
    <t>Coût total des travaux</t>
  </si>
  <si>
    <t>L’écriture à la fin des travaux en N+ est donc la suivante:</t>
  </si>
  <si>
    <t xml:space="preserve">T.V.A. récupérable sur immobilisations </t>
  </si>
  <si>
    <t>Cession d'une Immobilisations amortissables ex 241 Mat. Et outillage indust.</t>
  </si>
  <si>
    <t>Valeur amortissable</t>
  </si>
  <si>
    <t>Cumul d'amortissement a la date de cession</t>
  </si>
  <si>
    <t>Valeur de vente</t>
  </si>
  <si>
    <t>valeur nette comptable</t>
  </si>
  <si>
    <t>Créances sur cessions d’immobilisations</t>
  </si>
  <si>
    <t>Produits de cessions d’éléments d’actifs corporelles</t>
  </si>
  <si>
    <t>Sortie du patrimoine du matériel industriel</t>
  </si>
  <si>
    <t>Valeur comptables des éléments d’actifs cédés corporelles</t>
  </si>
  <si>
    <t>Mat-outillage industriels.</t>
  </si>
  <si>
    <t>Cession Immobilisations non amortissables surtout les terrains par principe</t>
  </si>
  <si>
    <t>La société vend un terrain HT</t>
  </si>
  <si>
    <t>Valeur d'achat</t>
  </si>
  <si>
    <t>Plus value</t>
  </si>
  <si>
    <t>Sortie du patrimoine de l'immobilisation</t>
  </si>
  <si>
    <t>Immobilisations provisionnées</t>
  </si>
  <si>
    <t>La société acquis au comptant un terrain pour</t>
  </si>
  <si>
    <t>L’entreprise avait constitué une provision pour dépréciation de</t>
  </si>
  <si>
    <t>L'entreprise vend le terrain pour</t>
  </si>
  <si>
    <t>Reprise de la provision sur l'immobilisation</t>
  </si>
  <si>
    <t>Reprise sur provision immobilisation</t>
  </si>
  <si>
    <t xml:space="preserve">Comptabilité générale, le bilan de clôture est équilibré par le résultat </t>
  </si>
  <si>
    <t>T.V.A. facturée sur ventes à taux réduit</t>
  </si>
  <si>
    <t>T.V.A. facturée sur ventes à taux normal</t>
  </si>
  <si>
    <t>T.V.A. facturée sur services à taux réduit</t>
  </si>
  <si>
    <t>T.V.A. facturée sur services à taux normal</t>
  </si>
  <si>
    <t>T.V.A. facturée sur services à taux fort</t>
  </si>
  <si>
    <t>T.V.A. facturée sur ventes à  taux fort</t>
  </si>
  <si>
    <t>T.V.A. facturée sur vente intracommunautaireà taux réduit</t>
  </si>
  <si>
    <t>T.V.A. facturée sur vente intracommunautaireà taux normal</t>
  </si>
  <si>
    <t>T.V.A. facturée sur vente intracommunautaireà taux fort</t>
  </si>
  <si>
    <t>T.V.A.  produit livrée à soi-même à taux réduit</t>
  </si>
  <si>
    <t>T.V.A.  produit livrée à soi-même à taux normal</t>
  </si>
  <si>
    <t>T.V.A.  produit livrée à soi-même à taux fort</t>
  </si>
  <si>
    <t>T.V.A. récupérable sur immobilisations à taux réduit</t>
  </si>
  <si>
    <t>T.V.A. récupérable sur immobilisations à taux normal</t>
  </si>
  <si>
    <t>T.V.A. récupérable sur immobilisations à taux fort</t>
  </si>
  <si>
    <t>T.V.A. récupérable intracommunautaire a taux réduit</t>
  </si>
  <si>
    <t>T.V.A. récupérable intracommunautaire a taux normal</t>
  </si>
  <si>
    <t>T.V.A. récupérable intracommunautaire a taux fort</t>
  </si>
  <si>
    <t>T.V.A. récupérable sur achats a taux réduit</t>
  </si>
  <si>
    <t>T.V.A. récupérable sur achats a taux normal</t>
  </si>
  <si>
    <t>T.V.A. récupérable sur achats a taux fort</t>
  </si>
  <si>
    <t>Solde des montant de TVA</t>
  </si>
  <si>
    <t>Montant Brut</t>
  </si>
  <si>
    <t>Taux</t>
  </si>
  <si>
    <t>Montant TVA</t>
  </si>
  <si>
    <t xml:space="preserve">Totaux </t>
  </si>
  <si>
    <t>TOTAU DE TVA DUE</t>
  </si>
  <si>
    <t>TOTAUX TVA DEDUCTIBLE</t>
  </si>
  <si>
    <t xml:space="preserve">Ventes Mach  &amp; P fini  à </t>
  </si>
  <si>
    <t xml:space="preserve">Escomptes accordés à </t>
  </si>
  <si>
    <t>Total commercial</t>
  </si>
  <si>
    <t>Escompte reglement</t>
  </si>
  <si>
    <t>Total banque</t>
  </si>
  <si>
    <t>L'écriture comptable lors de l'émission de la facture sera</t>
  </si>
  <si>
    <t>Vente de marchandises</t>
  </si>
  <si>
    <t>L'écriture comptable pour transfert de client dans le comptes des clients douteux à provisionner</t>
  </si>
  <si>
    <t xml:space="preserve">Achats de marchandises </t>
  </si>
  <si>
    <t xml:space="preserve">MP, fournitures &amp; Emb. dans l'UÉMOA </t>
  </si>
  <si>
    <t xml:space="preserve">Escomptes obtenus </t>
  </si>
  <si>
    <t>Tva récup achat</t>
  </si>
  <si>
    <t>Tva services</t>
  </si>
  <si>
    <t>Tva intra com</t>
  </si>
  <si>
    <t>Tva PSM</t>
  </si>
  <si>
    <t>Tva récup imob</t>
  </si>
  <si>
    <t>Tva récup intracom</t>
  </si>
  <si>
    <t>non taxable promotion des exports</t>
  </si>
  <si>
    <t>Taxable</t>
  </si>
  <si>
    <t>Dont TVA à reverser aux instances communautaires</t>
  </si>
  <si>
    <t>L'écriture comptable du règlement de la TVA à l'arrèté du journal sera</t>
  </si>
  <si>
    <t>TVA à déduire sur les excompte accordé à taux réduit</t>
  </si>
  <si>
    <t>Tva à déduire les escompte à taux normal</t>
  </si>
  <si>
    <t>Tva  à déduire des escompte à taux fort</t>
  </si>
  <si>
    <t>Ecriture lors du paiment</t>
  </si>
  <si>
    <t xml:space="preserve">Escomptes obtenus à </t>
  </si>
  <si>
    <t xml:space="preserve">Autoconsommation à </t>
  </si>
  <si>
    <t>L'écriture comptable pour cette facture de prélèvment de produit pour autoconsommation sera</t>
  </si>
  <si>
    <t xml:space="preserve">MP, fournitures &amp; Emb. </t>
  </si>
  <si>
    <t>L'écriture comptable lors du règlement client sera</t>
  </si>
  <si>
    <t>Ventes Mach  &amp; P fini UEMOA  &amp; RDM</t>
  </si>
  <si>
    <t>Tva sur achat</t>
  </si>
  <si>
    <t>AM n°1</t>
  </si>
  <si>
    <t>Remboursement AM n°1</t>
  </si>
  <si>
    <t>VM n°1</t>
  </si>
  <si>
    <t>VM N°2 avec escompte</t>
  </si>
  <si>
    <t>Frais de port , livraison &amp; Autres produits</t>
  </si>
  <si>
    <t>VM uemoa et RDM</t>
  </si>
  <si>
    <t>Emission d'avoir pour retour M</t>
  </si>
  <si>
    <t>Création d'un effet com. CC</t>
  </si>
  <si>
    <t>Dette sur emballage</t>
  </si>
  <si>
    <t>Boni sur emballage</t>
  </si>
  <si>
    <t>Achats de marchandises hors UEMOA taux réduit</t>
  </si>
  <si>
    <t>MP et fournitures. hors UÉMOA taux normal</t>
  </si>
  <si>
    <t>MP et fournitures. hors UÉMOA taux fort</t>
  </si>
  <si>
    <t>Fournisseur etranger</t>
  </si>
  <si>
    <t>Vente de marchandise</t>
  </si>
  <si>
    <t>Fournisseur</t>
  </si>
  <si>
    <t>Achat de d'essence voiture de tourisme</t>
  </si>
  <si>
    <t>Tva déductible</t>
  </si>
  <si>
    <t>Tva dsur achats</t>
  </si>
  <si>
    <t>Paiement de produit d'entretien</t>
  </si>
  <si>
    <t>Banque</t>
  </si>
  <si>
    <t>caisse</t>
  </si>
  <si>
    <t>Tva récupérable</t>
  </si>
  <si>
    <t>Perte sur titre ou VC Imob fin</t>
  </si>
  <si>
    <t>produit de cession sur imob fin</t>
  </si>
  <si>
    <t>Charge financière sur titre</t>
  </si>
  <si>
    <t>T.V.A. sur vente</t>
  </si>
  <si>
    <t>Charge fin sur titre</t>
  </si>
  <si>
    <t>Tva sur cession</t>
  </si>
  <si>
    <t>Revenu des imob actions</t>
  </si>
  <si>
    <t>Revenu des imob obligations</t>
  </si>
  <si>
    <t>Charges fin sur titres</t>
  </si>
  <si>
    <t>Tva sur charges financières</t>
  </si>
  <si>
    <t>Gain sur cession VMP</t>
  </si>
  <si>
    <t xml:space="preserve">Charge sur cession VMP </t>
  </si>
  <si>
    <t>Revenu des VMP actions</t>
  </si>
  <si>
    <t>Honoraire notaire</t>
  </si>
  <si>
    <t>Droit de mutation et autres taxes</t>
  </si>
  <si>
    <t>Acquistion matériel informatique</t>
  </si>
  <si>
    <t>Tva sur immobilisation</t>
  </si>
  <si>
    <t>Logiciel de gestion</t>
  </si>
  <si>
    <t>Ramette papier et cartouche</t>
  </si>
  <si>
    <t>Tva  sur achat</t>
  </si>
  <si>
    <t>Tva recupérable sur immobilisation</t>
  </si>
  <si>
    <t>Immob corporelle en cours</t>
  </si>
  <si>
    <t>Const. Batiment pour soi +sieurs exe</t>
  </si>
  <si>
    <t>Fin Bâtiment N+1</t>
  </si>
  <si>
    <t>Vente d'un outillage amortissable</t>
  </si>
  <si>
    <t>Produit de cession sur imob corporelles</t>
  </si>
  <si>
    <t>Cummul d'amortis sur l'outil</t>
  </si>
  <si>
    <t>Valeur nette comptable</t>
  </si>
  <si>
    <t>Comptabilisation de la sortie du patrimoine</t>
  </si>
  <si>
    <t>Terrain prix d'achat initial</t>
  </si>
  <si>
    <t>Droit et taxes</t>
  </si>
  <si>
    <t>Enregistrement de l'acquisition</t>
  </si>
  <si>
    <t>Enregistrement de la provision</t>
  </si>
  <si>
    <t>comptabilisation de la cession</t>
  </si>
  <si>
    <t>Impôt et taxes</t>
  </si>
  <si>
    <t>Tva sur achats</t>
  </si>
  <si>
    <t>Provision sur immobilisation</t>
  </si>
  <si>
    <t>cession de l'immobiisation provisionnée</t>
  </si>
  <si>
    <t>Produit de la cession</t>
  </si>
  <si>
    <t>sortie de l'immobilisation</t>
  </si>
  <si>
    <t>Immobilisation terrain</t>
  </si>
  <si>
    <t>Reprise de la provision constituée</t>
  </si>
  <si>
    <t>Provision pour réparation</t>
  </si>
  <si>
    <t>Paiement fourniseur</t>
  </si>
  <si>
    <t>annulation de la provision</t>
  </si>
  <si>
    <t>Amortissement des brevets</t>
  </si>
  <si>
    <t>amortissement des logiciels et marques</t>
  </si>
  <si>
    <t>Amortiisement bâtiment sol autrui</t>
  </si>
  <si>
    <t>Amortissement aménagment bureaux</t>
  </si>
  <si>
    <t>Amortissement mobiler</t>
  </si>
  <si>
    <t>Amortissement matériel transport</t>
  </si>
  <si>
    <t>Amortissment autres imob corpo en cours</t>
  </si>
  <si>
    <t>Actif de régulation (Charge payé d'avance, produit à recevoir)</t>
  </si>
  <si>
    <t>Passif de régulation , Charge à payer, Produits payés d'avance</t>
  </si>
  <si>
    <t>entree</t>
  </si>
  <si>
    <t>sorties</t>
  </si>
  <si>
    <t>achat</t>
  </si>
  <si>
    <t>Comptabilisation de la diminution du stocks</t>
  </si>
  <si>
    <t>Comptabilisation de l'augmentation du stocks</t>
  </si>
  <si>
    <t xml:space="preserve">Variations : stocks marchandises </t>
  </si>
  <si>
    <t>31.12 N</t>
  </si>
  <si>
    <t>Variations. Mat. premières, fournit. Dim</t>
  </si>
  <si>
    <t>Variations. Autres approvisionnement. Dim</t>
  </si>
  <si>
    <t>Marchandise</t>
  </si>
  <si>
    <t>Variation de stock MP</t>
  </si>
  <si>
    <t>MP</t>
  </si>
  <si>
    <t>Variation emballage</t>
  </si>
  <si>
    <t>Variation de stock Marchandise</t>
  </si>
  <si>
    <t>Variation de stock Autres approv.</t>
  </si>
  <si>
    <t>Autres approvisionnements, emballage récup</t>
  </si>
  <si>
    <t>MP et fournitures</t>
  </si>
  <si>
    <t>Variation MP et Fournitures</t>
  </si>
  <si>
    <t>Variations. Produit résiduel et intermédiaires</t>
  </si>
  <si>
    <t>Variations. produits résiduels et intermédiaires aug</t>
  </si>
  <si>
    <t>Variation stock PI</t>
  </si>
  <si>
    <t>Stock de PI</t>
  </si>
  <si>
    <t>En-cours de produits</t>
  </si>
  <si>
    <t>Variation des en-cours de produits aug</t>
  </si>
  <si>
    <t>Variation des encours de produit Dim</t>
  </si>
  <si>
    <t>stocks ouverture Produits en-cours</t>
  </si>
  <si>
    <t>stocks ouverture Produit Intermédiaire</t>
  </si>
  <si>
    <t>stocks ouverture Matières premières fournitures et emballages</t>
  </si>
  <si>
    <t>stocks ouverture Marchandises</t>
  </si>
  <si>
    <t>Produits en-cours</t>
  </si>
  <si>
    <t>Trésorerie nette (tresorerie active -tresorerie passive</t>
  </si>
  <si>
    <t>Vérification d'équilibre du bilan de clôture d'exercice</t>
  </si>
  <si>
    <t>Eacart sur bilan</t>
  </si>
  <si>
    <t>Val débit</t>
  </si>
  <si>
    <t>Val Crédit</t>
  </si>
  <si>
    <t>Client</t>
  </si>
  <si>
    <t>Règlement facture N° 2</t>
  </si>
  <si>
    <t>Déduction de l'escompte</t>
  </si>
  <si>
    <t>Acompte</t>
  </si>
  <si>
    <t>VM 3</t>
  </si>
  <si>
    <t>Acompte sur vente 3</t>
  </si>
  <si>
    <t>Acompte versé sur achat 2</t>
  </si>
  <si>
    <t>AM 2</t>
  </si>
  <si>
    <t>Acompte versé 2</t>
  </si>
  <si>
    <t>Réglement fournisseur</t>
  </si>
  <si>
    <t>VM 4</t>
  </si>
  <si>
    <t>VM avec frais de port 4</t>
  </si>
  <si>
    <t>Vente UEMOA et RDM 1</t>
  </si>
  <si>
    <t>VM 1</t>
  </si>
  <si>
    <t>VM 2</t>
  </si>
  <si>
    <t>VM 5</t>
  </si>
  <si>
    <t>Dettes sur emballage 5</t>
  </si>
  <si>
    <t>Retour d'emballage du client 5</t>
  </si>
  <si>
    <t>Non retour des emballage 5</t>
  </si>
  <si>
    <t>Autre produit</t>
  </si>
  <si>
    <t>VM 6</t>
  </si>
  <si>
    <t>Vente produit intermédiaire 6</t>
  </si>
  <si>
    <t>Vente de service 1</t>
  </si>
  <si>
    <t>Fournisseur étranger</t>
  </si>
  <si>
    <t xml:space="preserve">Tva sur achat </t>
  </si>
  <si>
    <t>Achat intracommunautaire 1</t>
  </si>
  <si>
    <t>Achat Mat P 1</t>
  </si>
  <si>
    <t>Achat de march. Hors uemoa 1</t>
  </si>
  <si>
    <t>Achat de march. Hors uemoa 2</t>
  </si>
  <si>
    <t>Frais de doaunes</t>
  </si>
  <si>
    <t>Prélèvement de marchandise 1</t>
  </si>
  <si>
    <t>Achat de Marchandise 7</t>
  </si>
  <si>
    <t>escompte obtenue 7</t>
  </si>
  <si>
    <t>Achat d'essence pour utilitaire</t>
  </si>
  <si>
    <t>Comptabilisaion fact électrique</t>
  </si>
  <si>
    <t>Comptabilisation du gaz</t>
  </si>
  <si>
    <t>Emprunt après des IF</t>
  </si>
  <si>
    <t>Remboursement de l'annuité</t>
  </si>
  <si>
    <t>Avis de débit pour frais de banque</t>
  </si>
  <si>
    <t>Achat hors uemaoa avec change 1</t>
  </si>
  <si>
    <t>Remboursement F avec baisse du cours 1</t>
  </si>
  <si>
    <t>remboursement F avec hausse du cours 1</t>
  </si>
  <si>
    <t>Achat de titre de participation 1</t>
  </si>
  <si>
    <t>Cession des titres avec pertes 1</t>
  </si>
  <si>
    <t>Cession des titres avec gains1</t>
  </si>
  <si>
    <t>Produit de cession sur imob fin</t>
  </si>
  <si>
    <t>Comptabilisation des rev des plac</t>
  </si>
  <si>
    <t>Acquisition d'imob d'obligation 2</t>
  </si>
  <si>
    <t>Acquisition d'imob actions 3</t>
  </si>
  <si>
    <t>Cession des imob action 3</t>
  </si>
  <si>
    <t xml:space="preserve">Charge fin sur titre </t>
  </si>
  <si>
    <t>Comptabilisation sortie des actions 3</t>
  </si>
  <si>
    <t>Achat VMP actions 4</t>
  </si>
  <si>
    <t>Achat VMP obligations 5</t>
  </si>
  <si>
    <t>Cession des VMP action gain 4</t>
  </si>
  <si>
    <t>Vmp actions 4</t>
  </si>
  <si>
    <t>Cession VMP obligations 5</t>
  </si>
  <si>
    <t>Avance sur immobilisation corpo 1</t>
  </si>
  <si>
    <t>Acquisition d'imob corpo outilage 1</t>
  </si>
  <si>
    <t>Acqusition de terrain 1</t>
  </si>
  <si>
    <t>Cession d'une imob non amortissable</t>
  </si>
  <si>
    <t>Acquisition d'une imob  2</t>
  </si>
  <si>
    <t>Date de clôture du blian</t>
  </si>
  <si>
    <t>Montant à retirer</t>
  </si>
  <si>
    <t>Dates des produits à recevoir</t>
  </si>
  <si>
    <t>Montant à intégrer</t>
  </si>
  <si>
    <t>L'écriture comptable pour une attente de  ristourne des fournisseurs sur nos achats</t>
  </si>
  <si>
    <t>Date de cloture du blian</t>
  </si>
  <si>
    <t>date du versement des intérêts comptabilisés</t>
  </si>
  <si>
    <t>Date de clôture du bilan</t>
  </si>
  <si>
    <t>L'écriture comptable pour une charges non encore parvenue à intégrer sera :</t>
  </si>
  <si>
    <t>Dates des charges à payer</t>
  </si>
  <si>
    <t xml:space="preserve">Montant </t>
  </si>
  <si>
    <t>L'écriture comptable pour un produit reçu d'avance à exclure sera</t>
  </si>
  <si>
    <t>Dates des produits reçus d'avances</t>
  </si>
  <si>
    <t>L'écriture comptable pour une charge payée  d'avance ex. Loyer  de N+1 à exclure sera :</t>
  </si>
  <si>
    <t>Dates des charges payées d'avances jours/ mois/ année</t>
  </si>
  <si>
    <t>Montant à retirer du bilan de Clôture</t>
  </si>
  <si>
    <t>Dates des produits à recevoir pour N+1</t>
  </si>
  <si>
    <t>L'écriture comptable pour un produit non encore parvenu ex intérêt d'un prêt  à intégrer sera</t>
  </si>
  <si>
    <t>Intérêts de prêts accordés</t>
  </si>
  <si>
    <t>L'écriture comptable pour prêts  accordés dont les intérêts son payés durant l'année</t>
  </si>
  <si>
    <t>Montant à retirer du bilan N</t>
  </si>
  <si>
    <t>Montant prêt</t>
  </si>
  <si>
    <t xml:space="preserve">Loyer </t>
  </si>
  <si>
    <t>intérêt prêts à recevoir AT</t>
  </si>
  <si>
    <t>Produit des intérêts</t>
  </si>
  <si>
    <t>Ristourne Four à recevoir AT</t>
  </si>
  <si>
    <t>Produit HAO</t>
  </si>
  <si>
    <t>Intérêt prêts payés d'avce AT</t>
  </si>
  <si>
    <t>Produits des prêts</t>
  </si>
  <si>
    <t>Intérêts prêts accordés</t>
  </si>
  <si>
    <t>Intérêts reçus d'avce PT</t>
  </si>
  <si>
    <t>Charges HAO</t>
  </si>
  <si>
    <t>Ristourne à recevoir PT</t>
  </si>
  <si>
    <t>Dates des ristourne et rabais  à déduire</t>
  </si>
  <si>
    <t>L'écriture comptable pour des ristourne et rabais à déduire de nos ventes en N</t>
  </si>
  <si>
    <t>L'écriture comptable pour la facture d'achat à crédit  simple sera</t>
  </si>
  <si>
    <t>L'écriture comptable pour la facture d'achat au comptant simple sera</t>
  </si>
  <si>
    <t>Banque en Monnaie nationale</t>
  </si>
  <si>
    <t>L'écriture comptable de la facture de vente simple  au comptant sera</t>
  </si>
  <si>
    <t>L'écriture comptable de la facture de vente simple à crédit  sera</t>
  </si>
  <si>
    <t>Tva facturée sur vente</t>
  </si>
  <si>
    <t>ACTIFS</t>
  </si>
  <si>
    <t>PASSIFS</t>
  </si>
  <si>
    <t>Totaux caisse, poste, banque</t>
  </si>
  <si>
    <t>Total des disponibles</t>
  </si>
  <si>
    <t>Dividendes/ tantième</t>
  </si>
  <si>
    <t>Effet en portefeuille et titres</t>
  </si>
  <si>
    <t>Débiteurs, clients</t>
  </si>
  <si>
    <t>Dettes ou exigible  à court terme - d' 1 an</t>
  </si>
  <si>
    <t>Diverses créances à court terme</t>
  </si>
  <si>
    <t>Total des réalisables à court terme - d' 1 an</t>
  </si>
  <si>
    <t>Stocks matières, marchandise et en-cours</t>
  </si>
  <si>
    <t>Emprunt exigible à longterme + d' 1 an</t>
  </si>
  <si>
    <t>Total des actif d'exploitation - d' 1 an</t>
  </si>
  <si>
    <t>Capital propre / Capital social /privé</t>
  </si>
  <si>
    <t>Réserve générale</t>
  </si>
  <si>
    <t>Autres réserves</t>
  </si>
  <si>
    <t>Cummul d'amortissement</t>
  </si>
  <si>
    <t>Actifs immobilisés plus d'1 an</t>
  </si>
  <si>
    <t>Bénéfice de l'exercice/Perte de l'exercice</t>
  </si>
  <si>
    <t>Capitaux ou fonds propres</t>
  </si>
  <si>
    <t>TOTAUX  ACTIFS</t>
  </si>
  <si>
    <t>CAPITAUX PERMANANTS</t>
  </si>
  <si>
    <t xml:space="preserve"> ACTIF </t>
  </si>
  <si>
    <t>N</t>
  </si>
  <si>
    <t xml:space="preserve">PASSIF </t>
  </si>
  <si>
    <t xml:space="preserve"> Emplois </t>
  </si>
  <si>
    <t xml:space="preserve"> Ressources </t>
  </si>
  <si>
    <t xml:space="preserve"> Immobilisations </t>
  </si>
  <si>
    <t xml:space="preserve"> Capitaux Propres </t>
  </si>
  <si>
    <t xml:space="preserve"> Stocks </t>
  </si>
  <si>
    <t xml:space="preserve"> Dettes L.T. </t>
  </si>
  <si>
    <t xml:space="preserve"> Créances C.T. </t>
  </si>
  <si>
    <t xml:space="preserve"> Dettes C.T. </t>
  </si>
  <si>
    <t xml:space="preserve"> Trésorerie </t>
  </si>
  <si>
    <t xml:space="preserve"> Total: </t>
  </si>
  <si>
    <t xml:space="preserve"> Total</t>
  </si>
  <si>
    <t>Votre bilan est  équilibré</t>
  </si>
  <si>
    <t xml:space="preserve">ACTIF </t>
  </si>
  <si>
    <t xml:space="preserve"> EMPLOIS STABLES </t>
  </si>
  <si>
    <t xml:space="preserve"> RESSOURCES STABLES </t>
  </si>
  <si>
    <t xml:space="preserve"> EMPLOIS CYCLIQUES </t>
  </si>
  <si>
    <t xml:space="preserve"> RESSOURCES CYCLIQUES </t>
  </si>
  <si>
    <t xml:space="preserve"> TRESORERIE  </t>
  </si>
  <si>
    <t xml:space="preserve"> TOTAL </t>
  </si>
  <si>
    <t>TOTAL</t>
  </si>
  <si>
    <t xml:space="preserve"> Analyse du BFR, du FR, et Trésorerie </t>
  </si>
  <si>
    <t xml:space="preserve"> Fond de Roulement (FR) KX. Pt / IMMOB </t>
  </si>
  <si>
    <t xml:space="preserve"> Besoin en Fond de Roulement (BFR) ACT-1an/ Det-1an </t>
  </si>
  <si>
    <t xml:space="preserve"> Trésorerie générale (TG) FR-BFR </t>
  </si>
  <si>
    <t>Ratios</t>
  </si>
  <si>
    <t>Calculs</t>
  </si>
  <si>
    <t>Significations</t>
  </si>
  <si>
    <t>Financement des immobilisations</t>
  </si>
  <si>
    <t>Kx permanents / actifs &gt;1 an</t>
  </si>
  <si>
    <t>les immob. financées par des k stables, ratio &gt;1</t>
  </si>
  <si>
    <t>Autonomie financière</t>
  </si>
  <si>
    <t>Kxpropres / Kx étrangers</t>
  </si>
  <si>
    <t>ratio &gt;1, kx propres &gt; kx étrangers, signe d'une indépendance fin.</t>
  </si>
  <si>
    <t>Indépendance fin ou capacité d'endettement</t>
  </si>
  <si>
    <t xml:space="preserve">Kxpropres / Kx permanents </t>
  </si>
  <si>
    <t>mesure marge d'endett de l'ese . Ratio mini de 0.5</t>
  </si>
  <si>
    <t>Liquidité de l'actif</t>
  </si>
  <si>
    <t>actif &gt; 1 an / actif total</t>
  </si>
  <si>
    <t>mesure la rotation des actifs circulents</t>
  </si>
  <si>
    <t>Trésorerie à terme</t>
  </si>
  <si>
    <t>actif &lt; ans (hs stocks) / dette &lt; 1 an</t>
  </si>
  <si>
    <t>mesure la capacité à honorer ses échéances sans stock, ratio &gt;1</t>
  </si>
  <si>
    <t>Trésorerie générale</t>
  </si>
  <si>
    <t>actif &lt;1 an / dette de &lt;1 an</t>
  </si>
  <si>
    <t>mesure la capacité de paiemt des dettes CT en liquidant le stock</t>
  </si>
  <si>
    <t>Trésorerie immédiate</t>
  </si>
  <si>
    <t>disponibilité / dette &lt; an *100</t>
  </si>
  <si>
    <t>mesure la part des dettes CT payable immédiat., ratio faible</t>
  </si>
  <si>
    <t>Rentabilité des capitaux propres</t>
  </si>
  <si>
    <t>bénéfice net / Kx propres *100</t>
  </si>
  <si>
    <t>mesure le gain  réalisé par rapport au placement</t>
  </si>
  <si>
    <t>Rendement financier</t>
  </si>
  <si>
    <t>dividendes / Kx social *100</t>
  </si>
  <si>
    <t>mesure le rendement attendu  100 kf investis</t>
  </si>
  <si>
    <t>Solvabilité</t>
  </si>
  <si>
    <t>actif T/ dettes &lt;&gt;1 an</t>
  </si>
  <si>
    <t>ration &gt; 3, les dettes &lt; 1/3 des actifs</t>
  </si>
  <si>
    <t>Immobilisation incorporelles</t>
  </si>
  <si>
    <t>Immobilsation corporelles</t>
  </si>
  <si>
    <t>Immobilisation financières</t>
  </si>
  <si>
    <t xml:space="preserve"> Provision divers et Amortissement actif</t>
  </si>
  <si>
    <t xml:space="preserve">comptabilisation au brut </t>
  </si>
  <si>
    <t>comptabilisation au brut</t>
  </si>
  <si>
    <t>Vérification du bilan en mode financier</t>
  </si>
  <si>
    <t>Synthèses d'analyse du bilan de clôture</t>
  </si>
  <si>
    <t>Actifs de régulations</t>
  </si>
  <si>
    <t>Dettes créancieres /fournisseurs et autres dettes</t>
  </si>
  <si>
    <t>Analyse de confirmation du BFR et de la trésorerie incluant les VMP</t>
  </si>
  <si>
    <t>Analyse des ratios et leur significations</t>
  </si>
  <si>
    <t>Les Comptes de Charges</t>
  </si>
  <si>
    <t>Les Comptes de Produits</t>
  </si>
  <si>
    <t>Analyses des données</t>
  </si>
  <si>
    <t>Produits d'Exploitation</t>
  </si>
  <si>
    <t>Ventes  (CA)</t>
  </si>
  <si>
    <t>Production Stockée</t>
  </si>
  <si>
    <t>Subventions d'exploitation</t>
  </si>
  <si>
    <t>Autres Produits gestion courante</t>
  </si>
  <si>
    <t>Reprises sur Amort.+ Prvovisions</t>
  </si>
  <si>
    <t>Total Produits:</t>
  </si>
  <si>
    <t>Charges d'Exploitation</t>
  </si>
  <si>
    <t>Achats (Matières, marchandises)</t>
  </si>
  <si>
    <t>Autres Charges Externes</t>
  </si>
  <si>
    <t>Autres charges gestion courante</t>
  </si>
  <si>
    <t>Dot. Amortissements+Provisions</t>
  </si>
  <si>
    <t>Total  Charges d'exploitation:</t>
  </si>
  <si>
    <t>Résultat d'exploitation:</t>
  </si>
  <si>
    <t>Produits Financiers:</t>
  </si>
  <si>
    <t>Charges Financières:</t>
  </si>
  <si>
    <t>Résultat Financier:</t>
  </si>
  <si>
    <t>Résultat courant:</t>
  </si>
  <si>
    <t>Produits exceptionnels:</t>
  </si>
  <si>
    <t>Charges exceptionnelles:</t>
  </si>
  <si>
    <t>Résultat exceptionnel:</t>
  </si>
  <si>
    <t>Résultat net avant I.S. :</t>
  </si>
  <si>
    <t>Impots sur les sociétés:</t>
  </si>
  <si>
    <t>Résultat Net après I.S. :</t>
  </si>
  <si>
    <t xml:space="preserve">Marge Brute d'autofinancement  </t>
  </si>
  <si>
    <t xml:space="preserve">Résultat d'Exploitation </t>
  </si>
  <si>
    <t xml:space="preserve">Excédent Brut d'Exploitation (EBE) </t>
  </si>
  <si>
    <t xml:space="preserve">Résultat Courant avant Impot </t>
  </si>
  <si>
    <t xml:space="preserve">Valeur Ajoutée (VA) </t>
  </si>
  <si>
    <t xml:space="preserve">Marge commerciale </t>
  </si>
  <si>
    <t xml:space="preserve">Résultat net après I.S. </t>
  </si>
  <si>
    <t>N° Compte</t>
  </si>
  <si>
    <t>Rémunération soumise à cotisation</t>
  </si>
  <si>
    <t>Net a payer</t>
  </si>
  <si>
    <t>Charges sociales patronales</t>
  </si>
  <si>
    <t>Total côut de rémunétation du salarié</t>
  </si>
  <si>
    <t>Total cotisation salariale / patronale</t>
  </si>
  <si>
    <t xml:space="preserve">Marchandises </t>
  </si>
  <si>
    <t>Stock de produits finis</t>
  </si>
  <si>
    <t>Variations : stocks marchandises Aug</t>
  </si>
  <si>
    <t>Variation des produits finis aug</t>
  </si>
  <si>
    <t>Variations : stocks marchandises dim</t>
  </si>
  <si>
    <t>variation des produits finis Dim</t>
  </si>
  <si>
    <t>stocks de produits finis</t>
  </si>
  <si>
    <t>Variation de stocks de produit</t>
  </si>
  <si>
    <t>stock final</t>
  </si>
  <si>
    <t>comptabilisation de l'annulation du stocks existant</t>
  </si>
  <si>
    <t>stock de l'exercice</t>
  </si>
  <si>
    <t>Comptabilisation du stock final</t>
  </si>
  <si>
    <t>Cas spécial de la variation de la production stockée</t>
  </si>
  <si>
    <t>COMPTABILISATION DES VARIATIONS DE STOCKS DE MATIERES ET DE PRODUITS FINIS</t>
  </si>
  <si>
    <t>COMPTABILISATION DES ACTIFS ET PASSIFS DE REGULATION DE FIN D'EXERCICE</t>
  </si>
  <si>
    <t>Variaton de socks augmentations</t>
  </si>
  <si>
    <t>Variation de stocks de produits augmentations</t>
  </si>
  <si>
    <t>Autres charges d'exploitations</t>
  </si>
  <si>
    <t>Charges financières</t>
  </si>
  <si>
    <t>Produits financiers</t>
  </si>
  <si>
    <t>Les achats , frais d'achat et variation de stocks</t>
  </si>
  <si>
    <t>Analyse générale du résultat par les soldes intermédiaires de gestion</t>
  </si>
  <si>
    <t xml:space="preserve">Les Impots et Taxes </t>
  </si>
  <si>
    <t xml:space="preserve">Rémunération du Personnel </t>
  </si>
  <si>
    <t xml:space="preserve">Charges Sociales </t>
  </si>
  <si>
    <t xml:space="preserve">Autres charges de gestion courante </t>
  </si>
  <si>
    <t xml:space="preserve">Charges Financières </t>
  </si>
  <si>
    <t xml:space="preserve">Charges exceptionnelles </t>
  </si>
  <si>
    <t xml:space="preserve">Dotations aux Amortissements et aux Provisions </t>
  </si>
  <si>
    <t xml:space="preserve">Impots sur les Bénéfices </t>
  </si>
  <si>
    <t xml:space="preserve">Ventes de Produits+Services+Prestations </t>
  </si>
  <si>
    <t>Production stockée</t>
  </si>
  <si>
    <t>Subventions d'Exploitation</t>
  </si>
  <si>
    <t xml:space="preserve">Autres produits de gestion courante </t>
  </si>
  <si>
    <t xml:space="preserve">Produits Financiers </t>
  </si>
  <si>
    <t xml:space="preserve">Produits Exceptionnels </t>
  </si>
  <si>
    <t xml:space="preserve">Reprises sur Amortissements et Provisions </t>
  </si>
  <si>
    <t>Résultat Net</t>
  </si>
  <si>
    <t>Impôts et Taxes</t>
  </si>
  <si>
    <t xml:space="preserve">Rémunération des Salariés </t>
  </si>
  <si>
    <t>Capacité d'autofinancement</t>
  </si>
  <si>
    <t>Amortissement d'une immobilisation ex.</t>
  </si>
  <si>
    <t>Autres charges financières et intérêts</t>
  </si>
  <si>
    <t>Banque cpte en monnaie nationale</t>
  </si>
  <si>
    <t>Acquisition de VMP compte 501 actions et 506 obligations</t>
  </si>
  <si>
    <t>Comptabilisation d'une production immobilisée</t>
  </si>
  <si>
    <t>Chiffre d'affaires</t>
  </si>
  <si>
    <t>années</t>
  </si>
  <si>
    <t>objectif ca ht</t>
  </si>
  <si>
    <t>CA  ht</t>
  </si>
  <si>
    <t>écart CA</t>
  </si>
  <si>
    <t>achat ht prévu</t>
  </si>
  <si>
    <t>achat ht</t>
  </si>
  <si>
    <t>écart</t>
  </si>
  <si>
    <t>marge prévue</t>
  </si>
  <si>
    <t>marge réelle</t>
  </si>
  <si>
    <t>écart marge</t>
  </si>
  <si>
    <t>univers 0</t>
  </si>
  <si>
    <t>univers 1</t>
  </si>
  <si>
    <t>univers 2</t>
  </si>
  <si>
    <t>univers 3</t>
  </si>
  <si>
    <t>univers 4</t>
  </si>
  <si>
    <t>univers 5</t>
  </si>
  <si>
    <t>univers 6</t>
  </si>
  <si>
    <t>univers 7</t>
  </si>
  <si>
    <t>univers 8</t>
  </si>
  <si>
    <t xml:space="preserve">Coefficient multiplicateur </t>
  </si>
  <si>
    <t>Prévisionnel</t>
  </si>
  <si>
    <t>réalisé</t>
  </si>
  <si>
    <t>prévisionnelle</t>
  </si>
  <si>
    <t xml:space="preserve">Taux de marque </t>
  </si>
  <si>
    <t xml:space="preserve">Taux de marge </t>
  </si>
  <si>
    <t>Prévisionnelle</t>
  </si>
  <si>
    <t>CA</t>
  </si>
  <si>
    <t>Années</t>
  </si>
  <si>
    <t>Trimestre 1</t>
  </si>
  <si>
    <t>Trimestre 2</t>
  </si>
  <si>
    <t>Trimestre 3</t>
  </si>
  <si>
    <t>Trimestre 4</t>
  </si>
  <si>
    <t>Moyenne par trimestre</t>
  </si>
  <si>
    <t>Coefficient trimestriel</t>
  </si>
  <si>
    <t>coefficient en %</t>
  </si>
  <si>
    <t>prévision chiffre d'affaires</t>
  </si>
  <si>
    <t xml:space="preserve">montant voulue </t>
  </si>
  <si>
    <t>pondération trimestrielle</t>
  </si>
  <si>
    <t>pondération en %</t>
  </si>
  <si>
    <t>Mini saisonnier</t>
  </si>
  <si>
    <t>Max saisonnier</t>
  </si>
  <si>
    <t xml:space="preserve">Vérifier si la somme des contribution des meilleurs trimestre dépassent les 80% </t>
  </si>
  <si>
    <t>Analyse prévisionnelles et contrib des trimestres pour  la gestion des produits et services</t>
  </si>
  <si>
    <t>Analyse des ventes prévionnelles par la méthode des moindres carrées</t>
  </si>
  <si>
    <t>Evolution des ventes</t>
  </si>
  <si>
    <t>Ventes ou CA</t>
  </si>
  <si>
    <t>XY</t>
  </si>
  <si>
    <t>YI</t>
  </si>
  <si>
    <t>XI^2</t>
  </si>
  <si>
    <t>YI^2</t>
  </si>
  <si>
    <t>XI*YI</t>
  </si>
  <si>
    <t>Prévision de l'an recherchée ex. 10</t>
  </si>
  <si>
    <t>Xbarre ( somme XI/ N)</t>
  </si>
  <si>
    <t>Ybarre (somme YI/N)</t>
  </si>
  <si>
    <t>a Coefficient directeur</t>
  </si>
  <si>
    <t>b ordonnée ( Ybarre- aXbarre)</t>
  </si>
  <si>
    <t>Equation (ax+b)</t>
  </si>
  <si>
    <t>x</t>
  </si>
  <si>
    <t>+</t>
  </si>
  <si>
    <t xml:space="preserve">Prévision </t>
  </si>
  <si>
    <t xml:space="preserve">CA prévision an recherchée ex 10 </t>
  </si>
  <si>
    <t>calculs</t>
  </si>
  <si>
    <t>Nombre de Points</t>
  </si>
  <si>
    <t>Les points moyens</t>
  </si>
  <si>
    <t>coefficient directeur</t>
  </si>
  <si>
    <t>ordonnée origine</t>
  </si>
  <si>
    <t xml:space="preserve">Année voulue </t>
  </si>
  <si>
    <t>CA prévisionnelle</t>
  </si>
  <si>
    <t>Il est plus facile de réduire le côut des achats que d'augmenter le volume des ventes</t>
  </si>
  <si>
    <t>Chiffres des affaires</t>
  </si>
  <si>
    <t>Achats</t>
  </si>
  <si>
    <t>Frais de personnel</t>
  </si>
  <si>
    <t xml:space="preserve">Autres charges </t>
  </si>
  <si>
    <t xml:space="preserve">Résultat </t>
  </si>
  <si>
    <t xml:space="preserve">Amélioration du côut des achats de </t>
  </si>
  <si>
    <t>Noms ex</t>
  </si>
  <si>
    <t>SAL / H</t>
  </si>
  <si>
    <t>NB hres</t>
  </si>
  <si>
    <t>NB jrs en</t>
  </si>
  <si>
    <t>CH. Soc</t>
  </si>
  <si>
    <t xml:space="preserve"> P hôtel</t>
  </si>
  <si>
    <t>TT hôtel</t>
  </si>
  <si>
    <t>KM A/R</t>
  </si>
  <si>
    <t>Prix /KM</t>
  </si>
  <si>
    <t>CT formateur</t>
  </si>
  <si>
    <t xml:space="preserve"> formation</t>
  </si>
  <si>
    <t>sur le sal.</t>
  </si>
  <si>
    <t>hgt &amp; nourrit</t>
  </si>
  <si>
    <t>indemnité</t>
  </si>
  <si>
    <t>Alix</t>
  </si>
  <si>
    <t>François</t>
  </si>
  <si>
    <t>Saturnin</t>
  </si>
  <si>
    <t>Total coûts  salaires</t>
  </si>
  <si>
    <t>charges salariales</t>
  </si>
  <si>
    <t>charges de déplacement</t>
  </si>
  <si>
    <t>charges du formateur</t>
  </si>
  <si>
    <t>Charges totales formation</t>
  </si>
  <si>
    <t>Taux de MCV</t>
  </si>
  <si>
    <t xml:space="preserve">CA nécessaires pour couvrir les charges de formation </t>
  </si>
  <si>
    <t>Capitaux propres</t>
  </si>
  <si>
    <t>Rentabilité sur capitaux propres voulues</t>
  </si>
  <si>
    <t xml:space="preserve">Taux d'emprunt </t>
  </si>
  <si>
    <t>Taux d' IS global</t>
  </si>
  <si>
    <t>Taux  de capitaux propres au projet</t>
  </si>
  <si>
    <t>Taux d'emprunt au projet</t>
  </si>
  <si>
    <t xml:space="preserve">les banques attribuent un taux d'emprunt avant IS de </t>
  </si>
  <si>
    <t>Taux d'imposition sur les sociétés</t>
  </si>
  <si>
    <t>L'économie réalisée  sur le taux d'imposition</t>
  </si>
  <si>
    <t>soit</t>
  </si>
  <si>
    <t>Taux de capitaux empruntés apportés aux projet</t>
  </si>
  <si>
    <t>Taux de capitaux propres apportés aux projet</t>
  </si>
  <si>
    <t>Les rendements attendus de l'investissement des capitaux propres est de :</t>
  </si>
  <si>
    <t>Le taux d'actualisation à retenir pour le calcul de la rentabilité du projet avant financement sera:</t>
  </si>
  <si>
    <t>JUSTIN</t>
  </si>
  <si>
    <t>RENE</t>
  </si>
  <si>
    <t>AUBERT</t>
  </si>
  <si>
    <t>CHAUVIN</t>
  </si>
  <si>
    <t xml:space="preserve"> Tot.numéraire</t>
  </si>
  <si>
    <t>numéraire 1</t>
  </si>
  <si>
    <t xml:space="preserve">stocks </t>
  </si>
  <si>
    <t>capital</t>
  </si>
  <si>
    <t>débiteurs</t>
  </si>
  <si>
    <t>titres obligataires</t>
  </si>
  <si>
    <t>mobilier et installation</t>
  </si>
  <si>
    <t>T. apports nat.</t>
  </si>
  <si>
    <t>écart sur bilan</t>
  </si>
  <si>
    <t>nominal parts</t>
  </si>
  <si>
    <t>constitution d'une provision pour réparation  de</t>
  </si>
  <si>
    <t>compte d'ajustement des fonds propres/ stocks</t>
  </si>
  <si>
    <t xml:space="preserve">moblier et installation/ compte d'ajustement </t>
  </si>
  <si>
    <t>compte d'ajustement des fonds propres/ provission réparation</t>
  </si>
  <si>
    <t>goodwill/ fonds d'ajustement de fonds propres</t>
  </si>
  <si>
    <t>solde du fonds d'ajustement</t>
  </si>
  <si>
    <t>bilan d'apport en nature</t>
  </si>
  <si>
    <t xml:space="preserve">Total </t>
  </si>
  <si>
    <t>Bilan de la constititution de la SARL à son ouverture</t>
  </si>
  <si>
    <t>banque</t>
  </si>
  <si>
    <t>provison débiteur</t>
  </si>
  <si>
    <t>goodwill</t>
  </si>
  <si>
    <t>provison réparations</t>
  </si>
  <si>
    <t>Caisse</t>
  </si>
  <si>
    <t>provision pour pertes sur clients / compte d'ajustement</t>
  </si>
  <si>
    <t>Titres</t>
  </si>
  <si>
    <t>Stocks</t>
  </si>
  <si>
    <t>constitution d'une société de personne snc, sarl...entres associés réalisant des apports en numéraires et en natures(fds de commerce)</t>
  </si>
  <si>
    <t>Fonds de commerce</t>
  </si>
  <si>
    <t>le stock de marchandise est réévalué par les autres associés à</t>
  </si>
  <si>
    <t xml:space="preserve">les créances clients sont repries moyennant une provision de </t>
  </si>
  <si>
    <t>le mobilier est repris avec une dégradation de</t>
  </si>
  <si>
    <t>Total parts</t>
  </si>
  <si>
    <t>Nominal parts</t>
  </si>
  <si>
    <t>Résultat</t>
  </si>
  <si>
    <t>Provisions sur clients</t>
  </si>
  <si>
    <t>Chiffre d'Affaires prévisionnel HT</t>
  </si>
  <si>
    <t>Charges Variables</t>
  </si>
  <si>
    <t>Taux de marge sur coûts variables (Marges sur coûts variables / Chiffres d'Affaires)</t>
  </si>
  <si>
    <t>Charges Fixes</t>
  </si>
  <si>
    <t xml:space="preserve"> Calcul du seuil de rentabilité </t>
  </si>
  <si>
    <t>Marge sur coûts variables (CA - C V)</t>
  </si>
  <si>
    <t>Seuil de rentabilité (C F / TMC)</t>
  </si>
  <si>
    <t>Analyse des écart de taux de marques et de marge des différents univers ou groupe de produit au sein d'un centre de profit de distribution</t>
  </si>
  <si>
    <t>Analyse des ventes prévionnelles des CA  par les moindres carées et par les tendances pour percevoir les écarts de méthodes et de gestion</t>
  </si>
  <si>
    <t>Prévision du chiffre d'affaires futur en fonction ses tendances d'évolution</t>
  </si>
  <si>
    <t>Ecart sur méthodes, préférez celle des carrés des écart à la moyenne</t>
  </si>
  <si>
    <t>Ecart</t>
  </si>
  <si>
    <t>Analyse corrélative de la variation des côuts sur le chiffre d'affaires globale</t>
  </si>
  <si>
    <t>Analyse des côuts de formation du personnel à des techniques de xce du chiffres d'affaires et des revenus nécessaires pour couvrir ces charges</t>
  </si>
  <si>
    <t>Détermination d'un seuil de rentabilité simple</t>
  </si>
  <si>
    <t>Récherche su taux d'actualisation et des économies fiscale du fait de l'emprunt pour valider un investissement</t>
  </si>
  <si>
    <t>Détermination des coefficients trimestriels pour mener des analyses prévisionnelles de CA</t>
  </si>
  <si>
    <t>charges hébergement</t>
  </si>
  <si>
    <t>commentaires</t>
  </si>
  <si>
    <t>Valeurs brutes en N</t>
  </si>
  <si>
    <t>amort/provisions</t>
  </si>
  <si>
    <t>Valeurs nettes en N</t>
  </si>
  <si>
    <t>BILAN ACTIF/</t>
  </si>
  <si>
    <t>BILAN PASSIF/</t>
  </si>
  <si>
    <t>resultat de l'exercice(bénéf/perte)</t>
  </si>
  <si>
    <t xml:space="preserve">ECART SUR BILAN </t>
  </si>
  <si>
    <t>Bâtiments</t>
  </si>
  <si>
    <t>Outillage industriel</t>
  </si>
  <si>
    <t>Autres immobilisations corporelles</t>
  </si>
  <si>
    <t>Matériel de bureau et matériel informatique</t>
  </si>
  <si>
    <t>Avances et acomptes versés sur commande d'immobilisations corporelles</t>
  </si>
  <si>
    <t>ACTIFS CIRCULANTS</t>
  </si>
  <si>
    <t xml:space="preserve"> Comptes de stocks et en-cours</t>
  </si>
  <si>
    <t>clients douteux ou litigeux</t>
  </si>
  <si>
    <t>Sociétaires - Comptes courants ou capital souscrit appelé non encore versé</t>
  </si>
  <si>
    <t>Autres comptes débiteurs ou créditeurs</t>
  </si>
  <si>
    <t>Banques cpte en devise</t>
  </si>
  <si>
    <t>TOTAL GENERAL ACTIFS</t>
  </si>
  <si>
    <t>Total des capitaux propres</t>
  </si>
  <si>
    <t>Total des dettes à longs termes</t>
  </si>
  <si>
    <t>Total du passif à court terme</t>
  </si>
  <si>
    <t>Matériel informatique</t>
  </si>
  <si>
    <t>Matériel mobilier</t>
  </si>
  <si>
    <t>Amortissement mobilier</t>
  </si>
  <si>
    <t xml:space="preserve">Titres de participation </t>
  </si>
  <si>
    <t>Titres immobilisés</t>
  </si>
  <si>
    <t>Autres formes de participations</t>
  </si>
  <si>
    <t>Founisseurs avce versé et dettes pour emballage</t>
  </si>
  <si>
    <t xml:space="preserve">Frais rech § dév, brevet, licence, marque, logiciel, </t>
  </si>
  <si>
    <t>Clients débiteurs et compte rattachés</t>
  </si>
  <si>
    <t>Banques</t>
  </si>
  <si>
    <t>Autres liquidité</t>
  </si>
  <si>
    <t>BILAN ACTIFS</t>
  </si>
  <si>
    <t>BILAN PASSIFS</t>
  </si>
  <si>
    <t>Immobilisations corporelles</t>
  </si>
  <si>
    <t>Créances d'exploitation</t>
  </si>
  <si>
    <t>Banques § établissements financiers</t>
  </si>
  <si>
    <t>Compte de régulation</t>
  </si>
  <si>
    <t>Elements en instances d'affectation</t>
  </si>
  <si>
    <t>Provisions pour cherges et risques</t>
  </si>
  <si>
    <t>Emprunts et dettes assimilées</t>
  </si>
  <si>
    <t>Fournisseurs et comptes rattachés</t>
  </si>
  <si>
    <t>Dettes fiscales et sociales</t>
  </si>
  <si>
    <t>TOTAL GENERAL PASSIF</t>
  </si>
  <si>
    <t xml:space="preserve">Créances </t>
  </si>
  <si>
    <t>Titres et liquidités</t>
  </si>
  <si>
    <t>Immobilisations</t>
  </si>
  <si>
    <t>Actifs immobilisés</t>
  </si>
  <si>
    <t>Retour avec défaut sur emballage 5</t>
  </si>
  <si>
    <t>Vente de services</t>
  </si>
  <si>
    <t>Client étranger</t>
  </si>
  <si>
    <t>Vente sciure de bois</t>
  </si>
  <si>
    <t>Avce sur salaires</t>
  </si>
  <si>
    <t>Salaires nettes</t>
  </si>
  <si>
    <t>Cotisation sociale salariale</t>
  </si>
  <si>
    <t>Mutuelles et autres</t>
  </si>
  <si>
    <t>Paiement  salaires nettes</t>
  </si>
  <si>
    <t>Charges sociales totales</t>
  </si>
  <si>
    <t>Chiffres d'affaires hors taxes</t>
  </si>
  <si>
    <t>Production hors taxes</t>
  </si>
  <si>
    <t>Consommations intermédiaires</t>
  </si>
  <si>
    <t>Marge</t>
  </si>
  <si>
    <t>VAB</t>
  </si>
  <si>
    <t>EBE</t>
  </si>
  <si>
    <t xml:space="preserve"> RESULTAT ET SOLDE DE GESTION</t>
  </si>
  <si>
    <t>Total des produis</t>
  </si>
  <si>
    <t>Total des charges</t>
  </si>
  <si>
    <t>Soldes de gestion</t>
  </si>
  <si>
    <t>Fourniture de bureau</t>
  </si>
  <si>
    <t>Petit outillage</t>
  </si>
  <si>
    <t>Etude et prestation de services</t>
  </si>
  <si>
    <t>Fourniture administratives</t>
  </si>
  <si>
    <t>Location</t>
  </si>
  <si>
    <t>Location de terrain</t>
  </si>
  <si>
    <t>Location d'outillages</t>
  </si>
  <si>
    <t xml:space="preserve">Crédit bail </t>
  </si>
  <si>
    <t>Frais de maintenance</t>
  </si>
  <si>
    <t>Assurance matériels de transport</t>
  </si>
  <si>
    <t>Assurances du producteur</t>
  </si>
  <si>
    <t>Assurances insolvabilité des clients</t>
  </si>
  <si>
    <t>Assurances transport sur vente</t>
  </si>
  <si>
    <t>Frais d'annonce</t>
  </si>
  <si>
    <t>Frais publicitaires</t>
  </si>
  <si>
    <t>Frais pour foires et expositions</t>
  </si>
  <si>
    <t>Frais de publication</t>
  </si>
  <si>
    <t>Cadeau à la clientèle</t>
  </si>
  <si>
    <t>Frais de séminaires</t>
  </si>
  <si>
    <t>Frais téléphoniques</t>
  </si>
  <si>
    <t>Honnaires à payer</t>
  </si>
  <si>
    <t>Frais de contenteux</t>
  </si>
  <si>
    <t>Frais de redevances brevet, marques…</t>
  </si>
  <si>
    <t>Autres taxes</t>
  </si>
  <si>
    <t>Frais de location bâtiments</t>
  </si>
  <si>
    <t>Frais de documentation</t>
  </si>
  <si>
    <t>Vente avec emballage consigné 5</t>
  </si>
  <si>
    <t>Dette banque</t>
  </si>
  <si>
    <t>http://jasseu.wordpress.com/2014/04/17/comptabilite-ouest-africaine-ohada/</t>
  </si>
  <si>
    <t>Annulation tout le stock</t>
  </si>
  <si>
    <t>Annulation du stock</t>
  </si>
  <si>
    <t>Stock final</t>
  </si>
  <si>
    <t>Ecriture lors du paiement</t>
  </si>
  <si>
    <t>Crédits</t>
  </si>
  <si>
    <t>augmentation du stock</t>
  </si>
  <si>
    <t>Avce de salaire</t>
  </si>
  <si>
    <t>comptabilisation de la variation des stocks</t>
  </si>
  <si>
    <t>créances clients</t>
  </si>
  <si>
    <t>Débits</t>
  </si>
  <si>
    <t>Valeur absolue à trouver</t>
  </si>
  <si>
    <t>Ecritures courantes pour le journal</t>
  </si>
  <si>
    <t>cilc sur commentaires</t>
  </si>
  <si>
    <t xml:space="preserve"> </t>
  </si>
  <si>
    <t>Valeurs absolues à trouver au résultat avec les écritures courantes au journal ci-dessous</t>
  </si>
  <si>
    <t xml:space="preserve">Décompte et déclaration de TVA </t>
  </si>
  <si>
    <t xml:space="preserve">Analyse des délais de paiements des factures clients débiteurs et des fournisseurs créanciers </t>
  </si>
  <si>
    <t>Rotation du crédit client</t>
  </si>
  <si>
    <t>année comptable</t>
  </si>
  <si>
    <t>jours</t>
  </si>
  <si>
    <t>Créances clients et les divers comptes rattachés</t>
  </si>
  <si>
    <t>Effet sur clients remis en escompte non échus</t>
  </si>
  <si>
    <t>Avances et acomptes reçus des clients sur les commandes à livrer</t>
  </si>
  <si>
    <t>-</t>
  </si>
  <si>
    <t>le total de l'encours client</t>
  </si>
  <si>
    <t>Rotation du crédit fournisseur</t>
  </si>
  <si>
    <t>Achat de matières et marchandises</t>
  </si>
  <si>
    <t>Dettes fournisseurs et les divers comptes rattachés</t>
  </si>
  <si>
    <t>Avances et acomptes versés au fournisseurs pour la réalisation des commandes</t>
  </si>
  <si>
    <t xml:space="preserve">total de l'encours fournisseur </t>
  </si>
  <si>
    <t>les donnés sur les investissements</t>
  </si>
  <si>
    <t>investissement premier</t>
  </si>
  <si>
    <t>taux d'actualisation</t>
  </si>
  <si>
    <t>valeur actuelle nette</t>
  </si>
  <si>
    <t>van cumulé</t>
  </si>
  <si>
    <t>VAN</t>
  </si>
  <si>
    <t>flux annuels</t>
  </si>
  <si>
    <t>flux actualiseé cumulées</t>
  </si>
  <si>
    <t>van</t>
  </si>
  <si>
    <t>écart de vérification</t>
  </si>
  <si>
    <t>taux interne de rentabilité à rechercher</t>
  </si>
  <si>
    <t>flux</t>
  </si>
  <si>
    <t>cumul</t>
  </si>
  <si>
    <t>TRI</t>
  </si>
  <si>
    <t>investissement deuxième</t>
  </si>
  <si>
    <t>taux interne de rentabilitéà rechercher</t>
  </si>
  <si>
    <t>cummul</t>
  </si>
  <si>
    <t>analyse des investissements</t>
  </si>
  <si>
    <t>commentaire général</t>
  </si>
  <si>
    <t>cashs flows réguliers</t>
  </si>
  <si>
    <t>Cashs flows irréguliers</t>
  </si>
  <si>
    <t>Détermination de la valeur actuelle nette et du taux interne de rentabilité pour analyser les rendements d'un investissment a cahs flows réguliers ou non</t>
  </si>
  <si>
    <t>montant investi</t>
  </si>
  <si>
    <t>RQ:  A défaut de procéder à des interpolations complexes, veuiller rechercher le TRI en annulant la van par la valeur cible d'excel.</t>
  </si>
  <si>
    <t>Plan Issu du système d'harmonisation Ouest Africain OHADA</t>
  </si>
  <si>
    <t>Actif de régulation (Charge payée d'avance, produit à recevoir)</t>
  </si>
  <si>
    <t>Emission d'avoir d'escompte Client</t>
  </si>
  <si>
    <t>securité sociale</t>
  </si>
  <si>
    <t>autres organismes sociaux</t>
  </si>
  <si>
    <t>Tva sur service facturé</t>
  </si>
  <si>
    <t>Autres charges de publicité</t>
  </si>
  <si>
    <t>Autres frais de télécommunication</t>
  </si>
  <si>
    <t>Charges d'intérêt</t>
  </si>
  <si>
    <t>Charge financières sur titres</t>
  </si>
  <si>
    <t>Titre de participation</t>
  </si>
  <si>
    <t>Tva récup sur charges fin</t>
  </si>
  <si>
    <t>VMP obligations 5</t>
  </si>
  <si>
    <t>Revenu des VMP Obligations</t>
  </si>
  <si>
    <t>Tva récup sur immobilisations</t>
  </si>
  <si>
    <t xml:space="preserve">Acquisition d'imob bâtiment </t>
  </si>
  <si>
    <t>Ouvrage d'infrastructure</t>
  </si>
  <si>
    <t>Installation de matériels techniques</t>
  </si>
  <si>
    <t>Aménagement des bureaux</t>
  </si>
  <si>
    <t>Matériels agricoles</t>
  </si>
  <si>
    <t>Matériles informatiques</t>
  </si>
  <si>
    <t>Matériels mobiliers</t>
  </si>
  <si>
    <t>Matériels de transport</t>
  </si>
  <si>
    <t>Animaux, cheptel</t>
  </si>
  <si>
    <t>Autres immob corporelles</t>
  </si>
  <si>
    <t>Droit et autres immob incorp</t>
  </si>
  <si>
    <t xml:space="preserve">Logiciels </t>
  </si>
  <si>
    <t>Brevets, licences</t>
  </si>
  <si>
    <t>facture de maintenance appareils</t>
  </si>
  <si>
    <t>Autres amortissment incorporelles</t>
  </si>
  <si>
    <t>Amortissement bâtiment sur sol propre</t>
  </si>
  <si>
    <t>Amortissement ouvrage et infrastructure</t>
  </si>
  <si>
    <t>Amortissement installation technique</t>
  </si>
  <si>
    <t>Amortissement matériel agricole</t>
  </si>
  <si>
    <t>Amortissement matériel  agricole</t>
  </si>
  <si>
    <t>Autres approvisionements</t>
  </si>
  <si>
    <t>Variation des en-cours</t>
  </si>
  <si>
    <t>Variation de Produits finis</t>
  </si>
  <si>
    <t>Loyer payé d'avance  AT</t>
  </si>
  <si>
    <t>Loyer de nos locations à recevoir PT</t>
  </si>
  <si>
    <t>Apports des associés : Noms</t>
  </si>
  <si>
    <t>écart sur bilan de FDC</t>
  </si>
  <si>
    <t>La fortune nette de l'apporteur en nature après ajustement entre les associés</t>
  </si>
  <si>
    <t xml:space="preserve">Charges prélevées sur salaires </t>
  </si>
  <si>
    <t>salariés</t>
  </si>
  <si>
    <t>employeur</t>
  </si>
  <si>
    <t>DECOMPTE DE TVA</t>
  </si>
  <si>
    <t xml:space="preserve">COMPTABILISATION DES ACHATS HORS UEMOA AVEC ECART DE CONVERTION </t>
  </si>
  <si>
    <t>12.12.N</t>
  </si>
  <si>
    <t>31.12.N</t>
  </si>
  <si>
    <t>Ecart de convertion d'actif hausse du cours</t>
  </si>
  <si>
    <t>Dotations aux provisions financières</t>
  </si>
  <si>
    <t>Provisions pour pertes de change</t>
  </si>
  <si>
    <t>Ecriture au brut</t>
  </si>
  <si>
    <t>L'écriture comptable à l'inventaire avec baisse de change</t>
  </si>
  <si>
    <t>Ecart de convertion passif</t>
  </si>
  <si>
    <t>L'écriture comptable lors du paiement avec hausse de change</t>
  </si>
  <si>
    <t>03.01.N+1</t>
  </si>
  <si>
    <t>Reprises sur charge provisionnées HAO</t>
  </si>
  <si>
    <t>Perte de cahange</t>
  </si>
  <si>
    <t>COMPTABILISATION DES VENTES HORS UEMOA AVEC ECART DE CONVERTION</t>
  </si>
  <si>
    <t>10.12.N</t>
  </si>
  <si>
    <t>L'écriture comptable à l'inventaire avec hausse de change</t>
  </si>
  <si>
    <t>Ecart de convertion de change passif</t>
  </si>
  <si>
    <t>Ecart de convertion actif baisse de change</t>
  </si>
  <si>
    <t>reprise sur charges provisioneées HAO</t>
  </si>
  <si>
    <t>Ecart de convertion d'actif</t>
  </si>
  <si>
    <t>Ecart de convertion de passif</t>
  </si>
  <si>
    <t>Année d'exercice</t>
  </si>
  <si>
    <t>Total de vos écritures</t>
  </si>
  <si>
    <t xml:space="preserve">Solde de la balance et du grand livre </t>
  </si>
  <si>
    <t>http://comptabilite.orgfree.com/</t>
  </si>
  <si>
    <t>4449-476</t>
  </si>
  <si>
    <t>Autres créances</t>
  </si>
  <si>
    <t>Capital Social</t>
  </si>
  <si>
    <t>Banques et crédits d'escompte</t>
  </si>
  <si>
    <t>Dettes Fin et ressources assimilées</t>
  </si>
  <si>
    <t>Autres capitaux propres</t>
  </si>
  <si>
    <t>Dettes de crédit-bail et contrats assimilés</t>
  </si>
  <si>
    <t>Subventions d'investissement</t>
  </si>
  <si>
    <t>Primes</t>
  </si>
  <si>
    <t>Report à nouveau créditeur (+)</t>
  </si>
  <si>
    <t>Provisions réglementées et fonds assimilés</t>
  </si>
  <si>
    <t>Provisions financières pour risques et charges</t>
  </si>
  <si>
    <t>PASSIF CIRCULANT</t>
  </si>
  <si>
    <t>Dettes circulantes et ressources ass HAO</t>
  </si>
  <si>
    <t>Escompte de concours campagne agricole</t>
  </si>
  <si>
    <t>Escompte de crédit pour le commerce</t>
  </si>
  <si>
    <t>Intérêt couru sur crédit de trésorerie</t>
  </si>
  <si>
    <t>Banques, découverts solde céditeur</t>
  </si>
  <si>
    <t>Tva due</t>
  </si>
  <si>
    <t>Emprunts obligataires</t>
  </si>
  <si>
    <t>Emprunts auprès des établissement de crédit</t>
  </si>
  <si>
    <t>Divers cautionnements reçus</t>
  </si>
  <si>
    <t>Intérêt couru sur emprunts obligataires</t>
  </si>
  <si>
    <t>Report à nouveau débiteur(-)</t>
  </si>
  <si>
    <t>Etat charges à payer</t>
  </si>
  <si>
    <t>Etat autres impôt et taxes dont douanes</t>
  </si>
  <si>
    <t>Etat tva à établir</t>
  </si>
  <si>
    <t>Autres taxes sur CA</t>
  </si>
  <si>
    <t>Etat impôt et autres retenues</t>
  </si>
  <si>
    <t>Créditeurs divers</t>
  </si>
  <si>
    <t>Versement restant sur titres participatifs</t>
  </si>
  <si>
    <t>Versement restant sur titres immobilisés</t>
  </si>
  <si>
    <t>Versement restant sur titres VMP</t>
  </si>
  <si>
    <t>Risques provisionnés exploitation et Hao</t>
  </si>
  <si>
    <t>Trésorerie passive</t>
  </si>
  <si>
    <t>Résultat en attente d'affectation</t>
  </si>
  <si>
    <t>Résultat de l'exercice bénéfice/perte</t>
  </si>
  <si>
    <t>Avances et divers acomptes reçues</t>
  </si>
  <si>
    <t>Autres dettes financières diverses</t>
  </si>
  <si>
    <t>Dettes liés à des participations</t>
  </si>
  <si>
    <t>Risques provisionnés à caractère financier</t>
  </si>
  <si>
    <t>Amort. : installations. techniques</t>
  </si>
  <si>
    <t>Amort. mat-outillage industriels.</t>
  </si>
  <si>
    <t>Amort. mat-outillage agricole</t>
  </si>
  <si>
    <t>Amort. Matériel informatique</t>
  </si>
  <si>
    <t>Amort. : immobilisations. animales, agric.</t>
  </si>
  <si>
    <t>Autres immobilisations corporelles en cours</t>
  </si>
  <si>
    <t>clients  acptes et avces  reçues</t>
  </si>
  <si>
    <t>Charges étaler sur +sieurs exercices</t>
  </si>
  <si>
    <t>Commissions et court. accordés aux 1/3 sur ventes</t>
  </si>
  <si>
    <t>Achats de marchandises  au taux fort</t>
  </si>
  <si>
    <t>Crédit-bail immobilier &amp; mobilier</t>
  </si>
  <si>
    <t>Maintenance  des appareils et outillages et autres entretiens</t>
  </si>
  <si>
    <t>Perte sur créance devenue irrécouvrable</t>
  </si>
  <si>
    <t>Capital par dotation</t>
  </si>
  <si>
    <t>Capital personnel</t>
  </si>
  <si>
    <t>Compte de l'exploitant ou privée</t>
  </si>
  <si>
    <t>Dettes bancaires et hypothécaire à long terme</t>
  </si>
  <si>
    <t>passif de régulation et trésorerie passive</t>
  </si>
  <si>
    <t xml:space="preserve"> RAN</t>
  </si>
  <si>
    <t>Amortissment des immobilisations</t>
  </si>
  <si>
    <t>Clic sur commentaire</t>
  </si>
  <si>
    <t>Données à reporter au bilan d'ouverture et au journal des écritures</t>
  </si>
  <si>
    <t>Immobilisations animales et agricole</t>
  </si>
  <si>
    <t>Tresorerie passive</t>
  </si>
  <si>
    <t>Capital social</t>
  </si>
  <si>
    <t>Montant d'écritures à retrouver au journal</t>
  </si>
  <si>
    <t>Actifs</t>
  </si>
  <si>
    <t>Clôture</t>
  </si>
  <si>
    <t xml:space="preserve">diminution </t>
  </si>
  <si>
    <t>Hausse</t>
  </si>
  <si>
    <t>Passifs</t>
  </si>
  <si>
    <t>clôture</t>
  </si>
  <si>
    <t>Baisse</t>
  </si>
  <si>
    <t>Analyse  et vérification de concordance entre les bilans, le résultat final et la variation de fortunes</t>
  </si>
  <si>
    <t>Hausse  Actifs</t>
  </si>
  <si>
    <t>Baisse Dettes</t>
  </si>
  <si>
    <t>Baisse Actifs</t>
  </si>
  <si>
    <t>Hausse Dettes</t>
  </si>
  <si>
    <t>Variation de fortune</t>
  </si>
  <si>
    <t>Analyse de la variation de fortune par l'analyse des bilans</t>
  </si>
  <si>
    <t xml:space="preserve">Graphique de variation des actifs des bilans et justification du résultat </t>
  </si>
  <si>
    <t>Date de clôture</t>
  </si>
  <si>
    <t>Date achat et mise en service</t>
  </si>
</sst>
</file>

<file path=xl/styles.xml><?xml version="1.0" encoding="utf-8"?>
<styleSheet xmlns="http://schemas.openxmlformats.org/spreadsheetml/2006/main">
  <numFmts count="25">
    <numFmt numFmtId="41" formatCode="_-* #,##0\ _€_-;\-* #,##0\ _€_-;_-* &quot;-&quot;\ _€_-;_-@_-"/>
    <numFmt numFmtId="44" formatCode="_-* #,##0.00\ &quot;€&quot;_-;\-* #,##0.00\ &quot;€&quot;_-;_-* &quot;-&quot;??\ &quot;€&quot;_-;_-@_-"/>
    <numFmt numFmtId="43" formatCode="_-* #,##0.00\ _€_-;\-* #,##0.00\ _€_-;_-* &quot;-&quot;??\ _€_-;_-@_-"/>
    <numFmt numFmtId="164" formatCode="_-* #,##0\ _f_r_._-;\-* #,##0\ _f_r_._-;_-* &quot;-&quot;\ _f_r_._-;_-@_-"/>
    <numFmt numFmtId="165" formatCode="_-* #,##0.00\ _f_r_._-;\-* #,##0.00\ _f_r_._-;_-* &quot;-&quot;??\ _f_r_._-;_-@_-"/>
    <numFmt numFmtId="166" formatCode="_ &quot;fr.&quot;\ * #,##0_ ;_ &quot;fr.&quot;\ * \-#,##0_ ;_ &quot;fr.&quot;\ * &quot;-&quot;_ ;_ @_ "/>
    <numFmt numFmtId="167" formatCode="_ * #,##0_ ;_ * \-#,##0_ ;_ * &quot;-&quot;_ ;_ @_ "/>
    <numFmt numFmtId="168" formatCode="_ &quot;fr.&quot;\ * #,##0.00_ ;_ &quot;fr.&quot;\ * \-#,##0.00_ ;_ &quot;fr.&quot;\ * &quot;-&quot;??_ ;_ @_ "/>
    <numFmt numFmtId="169" formatCode="_ * #,##0.00_ ;_ * \-#,##0.00_ ;_ * &quot;-&quot;??_ ;_ @_ "/>
    <numFmt numFmtId="170" formatCode="0.0%"/>
    <numFmt numFmtId="171" formatCode="[$-F800]dddd\,\ mmmm\ dd\,\ yyyy"/>
    <numFmt numFmtId="172" formatCode="_-* #,##0\ _€_-;\-* #,##0\ _€_-;_-* &quot;-&quot;??\ _€_-;_-@_-"/>
    <numFmt numFmtId="173" formatCode="_-* #,##0.00\ _F_-;\-* #,##0.00\ _F_-;_-* &quot;-&quot;??\ _F_-;_-@_-"/>
    <numFmt numFmtId="174" formatCode="0.0000"/>
    <numFmt numFmtId="175" formatCode="0.0000%"/>
    <numFmt numFmtId="176" formatCode="0.000%"/>
    <numFmt numFmtId="177" formatCode="_-* #,##0.0000\ _F_-;\-* #,##0.0000\ _F_-;_-* &quot;-&quot;????\ _F_-;_-@_-"/>
    <numFmt numFmtId="178" formatCode="_(* #,##0.00_);_(* \(#,##0.00\);_(* &quot;-&quot;??_);_(@_)"/>
    <numFmt numFmtId="179" formatCode="_(* #,##0_);_(* \(#,##0\);_(* &quot;-&quot;??_);_(@_)"/>
    <numFmt numFmtId="180" formatCode="#,##0.00&quot; &quot;;&quot; -&quot;#,##0.00&quot; &quot;;&quot; -&quot;#&quot; &quot;;@&quot; &quot;"/>
    <numFmt numFmtId="181" formatCode="#,##0&quot; &quot;;&quot; -&quot;#,##0&quot; &quot;;&quot; - &quot;;@&quot; &quot;"/>
    <numFmt numFmtId="182" formatCode="[$-100C]d\ mmm\ yy;@"/>
    <numFmt numFmtId="183" formatCode="#,##0.00\ _E;[Red]\-#,##0.00\ _E"/>
    <numFmt numFmtId="184" formatCode="_ * #,##0.00000000000000000_ ;_ * \-#,##0.00000000000000000_ ;_ * &quot;-&quot;??_ ;_ @_ "/>
    <numFmt numFmtId="185" formatCode="_ * #,##0.0000000000000000000_ ;_ * \-#,##0.0000000000000000000_ ;_ * &quot;-&quot;??_ ;_ @_ "/>
  </numFmts>
  <fonts count="148">
    <font>
      <sz val="11"/>
      <color theme="1"/>
      <name val="Calibri"/>
      <family val="2"/>
      <scheme val="minor"/>
    </font>
    <font>
      <sz val="10"/>
      <name val="Arial"/>
      <family val="2"/>
    </font>
    <font>
      <sz val="11"/>
      <color theme="1"/>
      <name val="Calibri"/>
      <family val="2"/>
      <scheme val="minor"/>
    </font>
    <font>
      <sz val="11"/>
      <name val="Arial Narrow"/>
      <family val="2"/>
    </font>
    <font>
      <sz val="11"/>
      <color theme="1"/>
      <name val="Arial Narrow"/>
      <family val="2"/>
    </font>
    <font>
      <b/>
      <sz val="10"/>
      <color rgb="FFFF0000"/>
      <name val="Arial Narrow"/>
      <family val="2"/>
    </font>
    <font>
      <sz val="10"/>
      <name val="Arial Narrow"/>
      <family val="2"/>
    </font>
    <font>
      <sz val="11"/>
      <color rgb="FFFF0000"/>
      <name val="Arial Narrow"/>
      <family val="2"/>
    </font>
    <font>
      <b/>
      <sz val="11"/>
      <name val="Arial Narrow"/>
      <family val="2"/>
    </font>
    <font>
      <sz val="10"/>
      <name val="Arial"/>
      <family val="2"/>
    </font>
    <font>
      <b/>
      <u/>
      <sz val="11"/>
      <color theme="3"/>
      <name val="Arial Narrow"/>
      <family val="2"/>
    </font>
    <font>
      <u/>
      <sz val="11"/>
      <color theme="1"/>
      <name val="Arial Narrow"/>
      <family val="2"/>
    </font>
    <font>
      <b/>
      <sz val="11"/>
      <color rgb="FFFF0000"/>
      <name val="Arial Narrow"/>
      <family val="2"/>
    </font>
    <font>
      <b/>
      <sz val="11"/>
      <color indexed="10"/>
      <name val="Arial Narrow"/>
      <family val="2"/>
    </font>
    <font>
      <b/>
      <sz val="11"/>
      <color theme="1"/>
      <name val="Arial Narrow"/>
      <family val="2"/>
    </font>
    <font>
      <sz val="10"/>
      <name val="MS Sans Serif"/>
      <family val="2"/>
    </font>
    <font>
      <u/>
      <sz val="11"/>
      <color theme="10"/>
      <name val="Calibri"/>
      <family val="2"/>
    </font>
    <font>
      <b/>
      <u/>
      <sz val="11"/>
      <color rgb="FFFF0000"/>
      <name val="Arial Narrow"/>
      <family val="2"/>
    </font>
    <font>
      <i/>
      <sz val="11"/>
      <color rgb="FFC00000"/>
      <name val="Arial Narrow"/>
      <family val="2"/>
    </font>
    <font>
      <sz val="11"/>
      <color rgb="FFC00000"/>
      <name val="Arial Narrow"/>
      <family val="2"/>
    </font>
    <font>
      <sz val="11"/>
      <color theme="1"/>
      <name val="Arial Rounded MT Bold"/>
      <family val="2"/>
    </font>
    <font>
      <sz val="10"/>
      <color indexed="8"/>
      <name val="Arial"/>
      <family val="2"/>
    </font>
    <font>
      <sz val="10"/>
      <color rgb="FF000000"/>
      <name val="Bell MT"/>
      <family val="1"/>
    </font>
    <font>
      <sz val="12"/>
      <color rgb="FF000000"/>
      <name val="Tms Rmn"/>
    </font>
    <font>
      <sz val="11"/>
      <color rgb="FF000000"/>
      <name val="Calibri"/>
      <family val="2"/>
    </font>
    <font>
      <u/>
      <sz val="11"/>
      <color rgb="FF0000FF"/>
      <name val="Calibri"/>
      <family val="2"/>
    </font>
    <font>
      <u/>
      <sz val="10"/>
      <color rgb="FFFF0000"/>
      <name val="Times New Roman"/>
      <family val="1"/>
    </font>
    <font>
      <sz val="10"/>
      <color rgb="FF000000"/>
      <name val="Times New Roman"/>
      <family val="1"/>
    </font>
    <font>
      <sz val="10"/>
      <color rgb="FFFF0000"/>
      <name val="Times New Roman"/>
      <family val="1"/>
    </font>
    <font>
      <u/>
      <sz val="10"/>
      <color rgb="FF000000"/>
      <name val="Times New Roman"/>
      <family val="1"/>
    </font>
    <font>
      <i/>
      <sz val="10"/>
      <color rgb="FFFF0000"/>
      <name val="Times New Roman"/>
      <family val="1"/>
    </font>
    <font>
      <i/>
      <sz val="10"/>
      <color rgb="FF000000"/>
      <name val="Times New Roman"/>
      <family val="1"/>
    </font>
    <font>
      <b/>
      <sz val="11"/>
      <color rgb="FF000000"/>
      <name val="Arial"/>
      <family val="2"/>
    </font>
    <font>
      <b/>
      <sz val="13.5"/>
      <color rgb="FF000000"/>
      <name val="Arial"/>
      <family val="2"/>
    </font>
    <font>
      <sz val="11"/>
      <color rgb="FF000000"/>
      <name val="Arial"/>
      <family val="2"/>
    </font>
    <font>
      <sz val="10"/>
      <color rgb="FFFF6600"/>
      <name val="Times New Roman"/>
      <family val="1"/>
    </font>
    <font>
      <sz val="10"/>
      <color rgb="FF800080"/>
      <name val="Times New Roman"/>
      <family val="1"/>
    </font>
    <font>
      <sz val="10"/>
      <color rgb="FFFF3333"/>
      <name val="Times New Roman"/>
      <family val="1"/>
    </font>
    <font>
      <b/>
      <sz val="10"/>
      <color rgb="FF000000"/>
      <name val="Times New Roman"/>
      <family val="1"/>
    </font>
    <font>
      <b/>
      <i/>
      <sz val="10"/>
      <color rgb="FFFF0000"/>
      <name val="Times New Roman"/>
      <family val="1"/>
    </font>
    <font>
      <b/>
      <i/>
      <sz val="10"/>
      <color rgb="FF000000"/>
      <name val="Times New Roman"/>
      <family val="1"/>
    </font>
    <font>
      <u/>
      <sz val="10"/>
      <color rgb="FF0000FF"/>
      <name val="Times New Roman"/>
      <family val="1"/>
    </font>
    <font>
      <sz val="11"/>
      <color theme="1"/>
      <name val="Times New Roman"/>
      <family val="1"/>
    </font>
    <font>
      <sz val="10"/>
      <color theme="1"/>
      <name val="Times New Roman"/>
      <family val="1"/>
    </font>
    <font>
      <sz val="10"/>
      <color theme="1"/>
      <name val="Arial"/>
      <family val="2"/>
    </font>
    <font>
      <u/>
      <sz val="10"/>
      <color rgb="FF000080"/>
      <name val="Times New Roman"/>
      <family val="1"/>
    </font>
    <font>
      <u/>
      <sz val="10"/>
      <color rgb="FFFF6600"/>
      <name val="Times New Roman"/>
      <family val="1"/>
    </font>
    <font>
      <u/>
      <sz val="10"/>
      <color rgb="FF003366"/>
      <name val="Times New Roman"/>
      <family val="1"/>
    </font>
    <font>
      <u/>
      <sz val="10"/>
      <color rgb="FF333399"/>
      <name val="Times New Roman"/>
      <family val="1"/>
    </font>
    <font>
      <b/>
      <sz val="10"/>
      <color rgb="FFFF0000"/>
      <name val="Times New Roman"/>
      <family val="1"/>
    </font>
    <font>
      <b/>
      <i/>
      <sz val="11"/>
      <color theme="1"/>
      <name val="Calibri"/>
      <family val="2"/>
      <scheme val="minor"/>
    </font>
    <font>
      <b/>
      <sz val="10"/>
      <name val="Times New Roman"/>
      <family val="1"/>
    </font>
    <font>
      <sz val="10"/>
      <name val="Times New Roman"/>
      <family val="1"/>
    </font>
    <font>
      <sz val="20"/>
      <color rgb="FFFF0000"/>
      <name val="Times New Roman"/>
      <family val="1"/>
    </font>
    <font>
      <b/>
      <sz val="11"/>
      <color theme="1"/>
      <name val="Calibri"/>
      <family val="2"/>
      <scheme val="minor"/>
    </font>
    <font>
      <sz val="10"/>
      <color theme="1"/>
      <name val="Calibri"/>
      <family val="2"/>
      <scheme val="minor"/>
    </font>
    <font>
      <u/>
      <sz val="10"/>
      <color theme="5"/>
      <name val="Times New Roman"/>
      <family val="1"/>
    </font>
    <font>
      <b/>
      <u/>
      <sz val="10"/>
      <color rgb="FF3366CC"/>
      <name val="Times New Roman"/>
      <family val="1"/>
    </font>
    <font>
      <b/>
      <sz val="10"/>
      <color indexed="10"/>
      <name val="Times New Roman"/>
      <family val="1"/>
    </font>
    <font>
      <b/>
      <sz val="10"/>
      <color rgb="FF00FF00"/>
      <name val="Times New Roman"/>
      <family val="1"/>
    </font>
    <font>
      <i/>
      <sz val="10"/>
      <color indexed="10"/>
      <name val="Times New Roman"/>
      <family val="1"/>
    </font>
    <font>
      <b/>
      <sz val="10"/>
      <color rgb="FFFF0000"/>
      <name val="Calibri"/>
      <family val="2"/>
      <scheme val="minor"/>
    </font>
    <font>
      <sz val="10"/>
      <name val="Calibri"/>
      <family val="2"/>
      <scheme val="minor"/>
    </font>
    <font>
      <b/>
      <sz val="10"/>
      <name val="Arial Narrow"/>
      <family val="2"/>
    </font>
    <font>
      <b/>
      <sz val="10"/>
      <name val="Calibri"/>
      <family val="2"/>
      <scheme val="minor"/>
    </font>
    <font>
      <b/>
      <sz val="10"/>
      <color indexed="10"/>
      <name val="Arial Narrow"/>
      <family val="2"/>
    </font>
    <font>
      <b/>
      <sz val="10"/>
      <color indexed="12"/>
      <name val="Arial Narrow"/>
      <family val="2"/>
    </font>
    <font>
      <sz val="10"/>
      <color theme="1"/>
      <name val="Arial Narrow"/>
      <family val="2"/>
    </font>
    <font>
      <sz val="12"/>
      <color rgb="FFFF0000"/>
      <name val="Times New Roman"/>
      <family val="1"/>
    </font>
    <font>
      <u/>
      <sz val="20"/>
      <color rgb="FFFF0000"/>
      <name val="Times New Roman"/>
      <family val="1"/>
    </font>
    <font>
      <sz val="10"/>
      <color rgb="FF00CCFF"/>
      <name val="Times New Roman"/>
      <family val="1"/>
    </font>
    <font>
      <sz val="10"/>
      <color theme="9" tint="-0.499984740745262"/>
      <name val="Times New Roman"/>
      <family val="1"/>
    </font>
    <font>
      <u/>
      <sz val="10"/>
      <name val="Times New Roman"/>
      <family val="1"/>
    </font>
    <font>
      <i/>
      <sz val="10"/>
      <name val="Times New Roman"/>
      <family val="1"/>
    </font>
    <font>
      <sz val="10"/>
      <name val="Bell MT"/>
      <family val="1"/>
    </font>
    <font>
      <i/>
      <sz val="10"/>
      <color rgb="FFFF0000"/>
      <name val="Arial"/>
      <family val="2"/>
    </font>
    <font>
      <b/>
      <i/>
      <sz val="10"/>
      <color rgb="FFFF0000"/>
      <name val="Arial Narrow"/>
      <family val="2"/>
    </font>
    <font>
      <i/>
      <sz val="10"/>
      <color rgb="FFFF0000"/>
      <name val="Calibri"/>
      <family val="2"/>
      <scheme val="minor"/>
    </font>
    <font>
      <b/>
      <i/>
      <sz val="10"/>
      <color indexed="10"/>
      <name val="Arial Narrow"/>
      <family val="2"/>
    </font>
    <font>
      <b/>
      <i/>
      <sz val="10"/>
      <color rgb="FFFF0000"/>
      <name val="Calibri"/>
      <family val="2"/>
      <scheme val="minor"/>
    </font>
    <font>
      <b/>
      <sz val="10"/>
      <color theme="1"/>
      <name val="Times New Roman"/>
      <family val="1"/>
    </font>
    <font>
      <u val="singleAccounting"/>
      <sz val="10"/>
      <color rgb="FF000000"/>
      <name val="Times New Roman"/>
      <family val="1"/>
    </font>
    <font>
      <u/>
      <sz val="10"/>
      <color indexed="10"/>
      <name val="Times New Roman"/>
      <family val="1"/>
    </font>
    <font>
      <sz val="10"/>
      <color indexed="10"/>
      <name val="Times New Roman"/>
      <family val="1"/>
    </font>
    <font>
      <sz val="10"/>
      <color indexed="8"/>
      <name val="Times New Roman"/>
      <family val="1"/>
    </font>
    <font>
      <u/>
      <sz val="16"/>
      <color rgb="FFFF0000"/>
      <name val="Times New Roman"/>
      <family val="1"/>
    </font>
    <font>
      <u/>
      <sz val="16"/>
      <color theme="1"/>
      <name val="Calibri"/>
      <family val="2"/>
      <scheme val="minor"/>
    </font>
    <font>
      <sz val="11"/>
      <name val="Times New Roman"/>
      <family val="1"/>
    </font>
    <font>
      <i/>
      <sz val="10"/>
      <color rgb="FFC00000"/>
      <name val="Times New Roman"/>
      <family val="1"/>
    </font>
    <font>
      <b/>
      <u/>
      <sz val="10"/>
      <color rgb="FFFF0000"/>
      <name val="Times New Roman"/>
      <family val="1"/>
    </font>
    <font>
      <b/>
      <u val="singleAccounting"/>
      <sz val="10"/>
      <color rgb="FFFF0000"/>
      <name val="Times New Roman"/>
      <family val="1"/>
    </font>
    <font>
      <u val="singleAccounting"/>
      <sz val="10"/>
      <color rgb="FFFF0000"/>
      <name val="Times New Roman"/>
      <family val="1"/>
    </font>
    <font>
      <sz val="8"/>
      <name val="Arial Narrow"/>
      <family val="2"/>
    </font>
    <font>
      <b/>
      <sz val="8"/>
      <name val="Arial Narrow"/>
      <family val="2"/>
    </font>
    <font>
      <sz val="8"/>
      <color theme="1"/>
      <name val="Arial Narrow"/>
      <family val="2"/>
    </font>
    <font>
      <u/>
      <sz val="8"/>
      <color theme="1"/>
      <name val="Arial Narrow"/>
      <family val="2"/>
    </font>
    <font>
      <u/>
      <sz val="8"/>
      <color rgb="FFFF0000"/>
      <name val="Arial Narrow"/>
      <family val="2"/>
    </font>
    <font>
      <i/>
      <sz val="10"/>
      <color theme="1"/>
      <name val="Times New Roman"/>
      <family val="1"/>
    </font>
    <font>
      <b/>
      <i/>
      <sz val="10"/>
      <name val="Times New Roman"/>
      <family val="1"/>
    </font>
    <font>
      <sz val="11"/>
      <color rgb="FFFF0000"/>
      <name val="Calibri"/>
      <family val="2"/>
      <scheme val="minor"/>
    </font>
    <font>
      <i/>
      <sz val="8"/>
      <color rgb="FFFF0000"/>
      <name val="Arial Narrow"/>
      <family val="2"/>
    </font>
    <font>
      <sz val="8"/>
      <color rgb="FFFF0000"/>
      <name val="Arial Narrow"/>
      <family val="2"/>
    </font>
    <font>
      <sz val="10"/>
      <color rgb="FFFF0000"/>
      <name val="Arial Narrow"/>
      <family val="2"/>
    </font>
    <font>
      <i/>
      <sz val="10"/>
      <color rgb="FF0070C0"/>
      <name val="Times New Roman"/>
      <family val="1"/>
    </font>
    <font>
      <u/>
      <sz val="10"/>
      <color rgb="FF3333FF"/>
      <name val="Times New Roman"/>
      <family val="1"/>
    </font>
    <font>
      <sz val="10"/>
      <color rgb="FF3333FF"/>
      <name val="Times New Roman"/>
      <family val="1"/>
    </font>
    <font>
      <b/>
      <sz val="10"/>
      <color theme="9" tint="-0.249977111117893"/>
      <name val="Times New Roman"/>
      <family val="1"/>
    </font>
    <font>
      <sz val="10"/>
      <color theme="9" tint="-0.249977111117893"/>
      <name val="Times New Roman"/>
      <family val="1"/>
    </font>
    <font>
      <u/>
      <sz val="10"/>
      <color theme="9" tint="-0.249977111117893"/>
      <name val="Times New Roman"/>
      <family val="1"/>
    </font>
    <font>
      <sz val="11"/>
      <color rgb="FF000000"/>
      <name val="Calibri"/>
      <family val="2"/>
      <scheme val="minor"/>
    </font>
    <font>
      <sz val="11"/>
      <color indexed="11"/>
      <name val="Calibri"/>
      <family val="2"/>
      <scheme val="minor"/>
    </font>
    <font>
      <sz val="11"/>
      <color indexed="32"/>
      <name val="Calibri"/>
      <family val="2"/>
      <scheme val="minor"/>
    </font>
    <font>
      <sz val="11"/>
      <color rgb="FF00FF00"/>
      <name val="Calibri"/>
      <family val="2"/>
      <scheme val="minor"/>
    </font>
    <font>
      <sz val="11"/>
      <color rgb="FF0000FF"/>
      <name val="Calibri"/>
      <family val="2"/>
      <scheme val="minor"/>
    </font>
    <font>
      <sz val="11"/>
      <color indexed="37"/>
      <name val="Calibri"/>
      <family val="2"/>
      <scheme val="minor"/>
    </font>
    <font>
      <sz val="11"/>
      <color indexed="39"/>
      <name val="Calibri"/>
      <family val="2"/>
      <scheme val="minor"/>
    </font>
    <font>
      <sz val="11"/>
      <color indexed="61"/>
      <name val="Calibri"/>
      <family val="2"/>
      <scheme val="minor"/>
    </font>
    <font>
      <b/>
      <sz val="18"/>
      <color theme="5"/>
      <name val="Arial Narrow"/>
      <family val="2"/>
    </font>
    <font>
      <sz val="18"/>
      <color theme="1"/>
      <name val="Calibri"/>
      <family val="2"/>
      <scheme val="minor"/>
    </font>
    <font>
      <b/>
      <u/>
      <sz val="14"/>
      <color rgb="FFFF0000"/>
      <name val="Times New Roman"/>
      <family val="1"/>
    </font>
    <font>
      <sz val="11"/>
      <color indexed="10"/>
      <name val="Calibri"/>
      <family val="2"/>
      <scheme val="minor"/>
    </font>
    <font>
      <b/>
      <sz val="10"/>
      <color rgb="FF3333FF"/>
      <name val="Times New Roman"/>
      <family val="1"/>
    </font>
    <font>
      <b/>
      <i/>
      <sz val="10"/>
      <color rgb="FF3333FF"/>
      <name val="Times New Roman"/>
      <family val="1"/>
    </font>
    <font>
      <sz val="10"/>
      <color rgb="FF9900CC"/>
      <name val="Times New Roman"/>
      <family val="1"/>
    </font>
    <font>
      <u/>
      <sz val="10"/>
      <color rgb="FF9900CC"/>
      <name val="Times New Roman"/>
      <family val="1"/>
    </font>
    <font>
      <sz val="11"/>
      <color rgb="FF9900CC"/>
      <name val="Calibri"/>
      <family val="2"/>
      <scheme val="minor"/>
    </font>
    <font>
      <u/>
      <sz val="10"/>
      <color rgb="FFC00000"/>
      <name val="Times New Roman"/>
      <family val="1"/>
    </font>
    <font>
      <sz val="10"/>
      <color rgb="FFC00000"/>
      <name val="Times New Roman"/>
      <family val="1"/>
    </font>
    <font>
      <sz val="10"/>
      <color rgb="FFC00000"/>
      <name val="Bell MT"/>
      <family val="1"/>
    </font>
    <font>
      <b/>
      <sz val="9"/>
      <color rgb="FF000000"/>
      <name val="Times New Roman"/>
      <family val="1"/>
    </font>
    <font>
      <b/>
      <sz val="11"/>
      <color rgb="FF000000"/>
      <name val="Times New Roman"/>
      <family val="1"/>
    </font>
    <font>
      <sz val="9"/>
      <color indexed="81"/>
      <name val="Tahoma"/>
      <family val="2"/>
    </font>
    <font>
      <b/>
      <sz val="9"/>
      <color indexed="81"/>
      <name val="Tahoma"/>
      <family val="2"/>
    </font>
    <font>
      <sz val="16"/>
      <color rgb="FF3333FF"/>
      <name val="Times New Roman"/>
      <family val="1"/>
    </font>
    <font>
      <sz val="14"/>
      <color rgb="FF3333FF"/>
      <name val="Times New Roman"/>
      <family val="1"/>
    </font>
    <font>
      <sz val="14"/>
      <color rgb="FF3333FF"/>
      <name val="Calibri"/>
      <family val="2"/>
      <scheme val="minor"/>
    </font>
    <font>
      <u/>
      <sz val="10"/>
      <color theme="1"/>
      <name val="Times New Roman"/>
      <family val="1"/>
    </font>
    <font>
      <i/>
      <u/>
      <sz val="10"/>
      <color theme="1"/>
      <name val="Times New Roman"/>
      <family val="1"/>
    </font>
    <font>
      <sz val="11"/>
      <color indexed="14"/>
      <name val="Calibri"/>
      <family val="2"/>
      <scheme val="minor"/>
    </font>
    <font>
      <sz val="11"/>
      <color indexed="33"/>
      <name val="Calibri"/>
      <family val="2"/>
      <scheme val="minor"/>
    </font>
    <font>
      <sz val="8"/>
      <color rgb="FFFF0000"/>
      <name val="Calibri"/>
      <family val="2"/>
      <scheme val="minor"/>
    </font>
    <font>
      <sz val="8"/>
      <color theme="1"/>
      <name val="Calibri"/>
      <family val="2"/>
      <scheme val="minor"/>
    </font>
    <font>
      <b/>
      <sz val="8"/>
      <color theme="1"/>
      <name val="Calibri"/>
      <family val="2"/>
      <scheme val="minor"/>
    </font>
    <font>
      <b/>
      <i/>
      <sz val="8"/>
      <color rgb="FFFF0000"/>
      <name val="Calibri"/>
      <family val="2"/>
      <scheme val="minor"/>
    </font>
    <font>
      <sz val="16"/>
      <color rgb="FFFF0000"/>
      <name val="Calibri"/>
      <family val="2"/>
      <scheme val="minor"/>
    </font>
    <font>
      <sz val="16"/>
      <color theme="1"/>
      <name val="Calibri"/>
      <family val="2"/>
      <scheme val="minor"/>
    </font>
    <font>
      <sz val="8"/>
      <color rgb="FF3333FF"/>
      <name val="Calibri"/>
      <family val="2"/>
      <scheme val="minor"/>
    </font>
    <font>
      <sz val="11"/>
      <color indexed="25"/>
      <name val="Calibri"/>
      <family val="2"/>
      <scheme val="minor"/>
    </font>
  </fonts>
  <fills count="69">
    <fill>
      <patternFill patternType="none"/>
    </fill>
    <fill>
      <patternFill patternType="gray125"/>
    </fill>
    <fill>
      <patternFill patternType="solid">
        <fgColor rgb="FF00FF00"/>
        <bgColor indexed="64"/>
      </patternFill>
    </fill>
    <fill>
      <patternFill patternType="solid">
        <fgColor rgb="FFFFFF99"/>
        <bgColor indexed="64"/>
      </patternFill>
    </fill>
    <fill>
      <patternFill patternType="solid">
        <fgColor indexed="1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8E7B8"/>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theme="3" tint="0.79998168889431442"/>
        <bgColor indexed="64"/>
      </patternFill>
    </fill>
    <fill>
      <patternFill patternType="solid">
        <fgColor rgb="FF00CCFF"/>
        <bgColor indexed="64"/>
      </patternFill>
    </fill>
    <fill>
      <patternFill patternType="solid">
        <fgColor rgb="FFFFFFFF"/>
        <bgColor indexed="64"/>
      </patternFill>
    </fill>
    <fill>
      <patternFill patternType="solid">
        <fgColor rgb="FFCCFFCC"/>
        <bgColor rgb="FFCCFFCC"/>
      </patternFill>
    </fill>
    <fill>
      <patternFill patternType="solid">
        <fgColor rgb="FFC0C0C0"/>
        <bgColor rgb="FFC0C0C0"/>
      </patternFill>
    </fill>
    <fill>
      <patternFill patternType="solid">
        <fgColor rgb="FF333399"/>
        <bgColor rgb="FF333399"/>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FF0000"/>
        <bgColor rgb="FFFF0000"/>
      </patternFill>
    </fill>
    <fill>
      <patternFill patternType="solid">
        <fgColor rgb="FFFFFFFF"/>
        <bgColor rgb="FFFFFFFF"/>
      </patternFill>
    </fill>
    <fill>
      <patternFill patternType="solid">
        <fgColor rgb="FFFF9900"/>
        <bgColor rgb="FFFF9900"/>
      </patternFill>
    </fill>
    <fill>
      <patternFill patternType="solid">
        <fgColor rgb="FFFFFF99"/>
        <bgColor rgb="FFFFFF99"/>
      </patternFill>
    </fill>
    <fill>
      <patternFill patternType="solid">
        <fgColor rgb="FFCCFFFF"/>
        <bgColor rgb="FFCCFFFF"/>
      </patternFill>
    </fill>
    <fill>
      <patternFill patternType="solid">
        <fgColor rgb="FFF8FDB3"/>
        <bgColor indexed="64"/>
      </patternFill>
    </fill>
    <fill>
      <patternFill patternType="solid">
        <fgColor theme="8" tint="0.59999389629810485"/>
        <bgColor indexed="64"/>
      </patternFill>
    </fill>
    <fill>
      <patternFill patternType="solid">
        <fgColor rgb="FFCCFFFF"/>
        <bgColor indexed="64"/>
      </patternFill>
    </fill>
    <fill>
      <patternFill patternType="solid">
        <fgColor rgb="FFCCFFFF"/>
        <bgColor rgb="FF008000"/>
      </patternFill>
    </fill>
    <fill>
      <patternFill patternType="solid">
        <fgColor rgb="FFCCFFFF"/>
        <bgColor rgb="FF579D1C"/>
      </patternFill>
    </fill>
    <fill>
      <patternFill patternType="solid">
        <fgColor theme="9" tint="0.39997558519241921"/>
        <bgColor rgb="FFCCFFFF"/>
      </patternFill>
    </fill>
    <fill>
      <patternFill patternType="solid">
        <fgColor rgb="FFFAC090"/>
        <bgColor indexed="64"/>
      </patternFill>
    </fill>
    <fill>
      <patternFill patternType="solid">
        <fgColor theme="0"/>
        <bgColor indexed="64"/>
      </patternFill>
    </fill>
    <fill>
      <patternFill patternType="solid">
        <fgColor rgb="FFFCD5B4"/>
        <bgColor indexed="64"/>
      </patternFill>
    </fill>
    <fill>
      <patternFill patternType="solid">
        <fgColor rgb="FFF8FDB3"/>
        <bgColor rgb="FFFFFF00"/>
      </patternFill>
    </fill>
    <fill>
      <patternFill patternType="solid">
        <fgColor rgb="FFF8FDB3"/>
        <bgColor rgb="FFFFFF99"/>
      </patternFill>
    </fill>
    <fill>
      <patternFill patternType="solid">
        <fgColor theme="7" tint="0.59999389629810485"/>
        <bgColor indexed="64"/>
      </patternFill>
    </fill>
    <fill>
      <patternFill patternType="solid">
        <fgColor rgb="FF00B0F0"/>
        <bgColor indexed="64"/>
      </patternFill>
    </fill>
    <fill>
      <patternFill patternType="solid">
        <fgColor rgb="FF00FF00"/>
        <bgColor rgb="FFCCFFFF"/>
      </patternFill>
    </fill>
    <fill>
      <patternFill patternType="solid">
        <fgColor rgb="FF66FFFF"/>
        <bgColor indexed="64"/>
      </patternFill>
    </fill>
    <fill>
      <patternFill patternType="solid">
        <fgColor rgb="FF66FFFF"/>
        <bgColor rgb="FFFFFFFF"/>
      </patternFill>
    </fill>
    <fill>
      <patternFill patternType="solid">
        <fgColor rgb="FF66FFFF"/>
        <bgColor rgb="FFC0C0C0"/>
      </patternFill>
    </fill>
    <fill>
      <patternFill patternType="solid">
        <fgColor rgb="FF00FF00"/>
        <bgColor rgb="FFFFFF99"/>
      </patternFill>
    </fill>
    <fill>
      <patternFill patternType="solid">
        <fgColor rgb="FFF8FDB3"/>
        <bgColor rgb="FFCCFFFF"/>
      </patternFill>
    </fill>
    <fill>
      <patternFill patternType="solid">
        <fgColor rgb="FFFFFF99"/>
        <bgColor rgb="FFFFCC99"/>
      </patternFill>
    </fill>
    <fill>
      <patternFill patternType="solid">
        <fgColor rgb="FF66FFFF"/>
        <bgColor rgb="FFFFFF99"/>
      </patternFill>
    </fill>
    <fill>
      <patternFill patternType="solid">
        <fgColor rgb="FF66FFFF"/>
        <bgColor rgb="FFFF3333"/>
      </patternFill>
    </fill>
    <fill>
      <patternFill patternType="solid">
        <fgColor rgb="FF24FC29"/>
        <bgColor indexed="64"/>
      </patternFill>
    </fill>
    <fill>
      <patternFill patternType="solid">
        <fgColor rgb="FFFFC000"/>
        <bgColor indexed="64"/>
      </patternFill>
    </fill>
    <fill>
      <patternFill patternType="solid">
        <fgColor rgb="FFFDE9D9"/>
        <bgColor indexed="64"/>
      </patternFill>
    </fill>
    <fill>
      <patternFill patternType="solid">
        <fgColor indexed="13"/>
        <bgColor indexed="64"/>
      </patternFill>
    </fill>
    <fill>
      <patternFill patternType="solid">
        <fgColor theme="2" tint="-0.249977111117893"/>
        <bgColor indexed="64"/>
      </patternFill>
    </fill>
    <fill>
      <patternFill patternType="solid">
        <fgColor indexed="29"/>
        <bgColor indexed="64"/>
      </patternFill>
    </fill>
    <fill>
      <patternFill patternType="solid">
        <fgColor indexed="52"/>
        <bgColor indexed="64"/>
      </patternFill>
    </fill>
    <fill>
      <patternFill patternType="solid">
        <fgColor rgb="FFFF9900"/>
        <bgColor indexed="64"/>
      </patternFill>
    </fill>
    <fill>
      <patternFill patternType="solid">
        <fgColor rgb="FFFF9900"/>
        <bgColor rgb="FFFFCC00"/>
      </patternFill>
    </fill>
    <fill>
      <patternFill patternType="solid">
        <fgColor rgb="FFFF8080"/>
        <bgColor indexed="64"/>
      </patternFill>
    </fill>
    <fill>
      <patternFill patternType="solid">
        <fgColor theme="0" tint="-0.249977111117893"/>
        <bgColor indexed="64"/>
      </patternFill>
    </fill>
    <fill>
      <patternFill patternType="solid">
        <fgColor rgb="FF00B0F0"/>
        <bgColor rgb="FFFFFF99"/>
      </patternFill>
    </fill>
    <fill>
      <patternFill patternType="solid">
        <fgColor theme="0" tint="-0.249977111117893"/>
        <bgColor rgb="FFFFFF99"/>
      </patternFill>
    </fill>
    <fill>
      <patternFill patternType="solid">
        <fgColor rgb="FF66FFFF"/>
        <bgColor rgb="FFFF9900"/>
      </patternFill>
    </fill>
    <fill>
      <patternFill patternType="solid">
        <fgColor rgb="FFFFFF00"/>
        <bgColor rgb="FF00FF00"/>
      </patternFill>
    </fill>
    <fill>
      <patternFill patternType="solid">
        <fgColor rgb="FF3333FF"/>
        <bgColor indexed="64"/>
      </patternFill>
    </fill>
    <fill>
      <patternFill patternType="solid">
        <fgColor theme="8" tint="0.39997558519241921"/>
        <bgColor indexed="64"/>
      </patternFill>
    </fill>
    <fill>
      <patternFill patternType="solid">
        <fgColor theme="7"/>
        <bgColor indexed="64"/>
      </patternFill>
    </fill>
    <fill>
      <patternFill patternType="solid">
        <fgColor rgb="FF8064A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medium">
        <color indexed="64"/>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rgb="FF000000"/>
      </right>
      <top style="thin">
        <color rgb="FF000000"/>
      </top>
      <bottom style="thin">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5">
    <xf numFmtId="0" fontId="0" fillId="0" borderId="0"/>
    <xf numFmtId="9" fontId="2" fillId="0" borderId="0" applyFont="0" applyFill="0" applyBorder="0" applyAlignment="0" applyProtection="0"/>
    <xf numFmtId="44" fontId="9" fillId="0" borderId="0" applyFont="0" applyFill="0" applyBorder="0" applyAlignment="0" applyProtection="0"/>
    <xf numFmtId="43" fontId="2" fillId="0" borderId="0" applyFont="0" applyFill="0" applyBorder="0" applyAlignment="0" applyProtection="0"/>
    <xf numFmtId="0" fontId="9" fillId="0" borderId="0"/>
    <xf numFmtId="0" fontId="9" fillId="0" borderId="0"/>
    <xf numFmtId="0" fontId="15" fillId="0" borderId="0"/>
    <xf numFmtId="0" fontId="16" fillId="0" borderId="0" applyNumberFormat="0" applyFill="0" applyBorder="0" applyAlignment="0" applyProtection="0">
      <alignment vertical="top"/>
      <protection locked="0"/>
    </xf>
    <xf numFmtId="0" fontId="1" fillId="0" borderId="0"/>
    <xf numFmtId="0" fontId="21" fillId="0" borderId="0"/>
    <xf numFmtId="0" fontId="23" fillId="0" borderId="0"/>
    <xf numFmtId="180" fontId="24" fillId="0" borderId="0"/>
    <xf numFmtId="0" fontId="25" fillId="0" borderId="0"/>
    <xf numFmtId="9" fontId="24" fillId="0" borderId="0"/>
    <xf numFmtId="0" fontId="1" fillId="0" borderId="0">
      <alignment vertical="center"/>
    </xf>
  </cellStyleXfs>
  <cellXfs count="1701">
    <xf numFmtId="0" fontId="0" fillId="0" borderId="0" xfId="0"/>
    <xf numFmtId="43" fontId="3" fillId="0" borderId="1" xfId="0" applyNumberFormat="1" applyFont="1" applyFill="1" applyBorder="1"/>
    <xf numFmtId="0" fontId="3" fillId="2" borderId="1" xfId="0" applyNumberFormat="1"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wrapText="1"/>
      <protection locked="0"/>
    </xf>
    <xf numFmtId="169" fontId="3" fillId="3" borderId="1" xfId="0" applyNumberFormat="1" applyFont="1" applyFill="1" applyBorder="1" applyAlignment="1" applyProtection="1">
      <alignment horizontal="center" vertical="center" wrapText="1"/>
    </xf>
    <xf numFmtId="0" fontId="3" fillId="3" borderId="1" xfId="0" applyFont="1" applyFill="1" applyBorder="1"/>
    <xf numFmtId="0" fontId="3" fillId="3" borderId="17" xfId="0" applyFont="1" applyFill="1" applyBorder="1"/>
    <xf numFmtId="0" fontId="3" fillId="3" borderId="16" xfId="0" applyFont="1" applyFill="1" applyBorder="1"/>
    <xf numFmtId="0" fontId="3" fillId="3" borderId="10" xfId="0" applyFont="1" applyFill="1" applyBorder="1"/>
    <xf numFmtId="0" fontId="3" fillId="16" borderId="0" xfId="0" applyFont="1" applyFill="1"/>
    <xf numFmtId="0" fontId="12" fillId="16" borderId="0" xfId="0" applyFont="1" applyFill="1" applyAlignment="1">
      <alignment vertical="center"/>
    </xf>
    <xf numFmtId="0" fontId="12" fillId="16" borderId="0" xfId="0" applyFont="1" applyFill="1"/>
    <xf numFmtId="43" fontId="3" fillId="0" borderId="15" xfId="0" applyNumberFormat="1" applyFont="1" applyFill="1" applyBorder="1"/>
    <xf numFmtId="43" fontId="3" fillId="0" borderId="16" xfId="0" applyNumberFormat="1" applyFont="1" applyFill="1" applyBorder="1"/>
    <xf numFmtId="43" fontId="3" fillId="0" borderId="28" xfId="0" applyNumberFormat="1" applyFont="1" applyFill="1" applyBorder="1"/>
    <xf numFmtId="43" fontId="3" fillId="0" borderId="17" xfId="0" applyNumberFormat="1" applyFont="1" applyFill="1" applyBorder="1"/>
    <xf numFmtId="43" fontId="3" fillId="0" borderId="10" xfId="0" applyNumberFormat="1" applyFont="1" applyFill="1" applyBorder="1"/>
    <xf numFmtId="43" fontId="8" fillId="0" borderId="10" xfId="0" applyNumberFormat="1" applyFont="1" applyFill="1" applyBorder="1"/>
    <xf numFmtId="43" fontId="8" fillId="0" borderId="1" xfId="0" applyNumberFormat="1" applyFont="1" applyFill="1" applyBorder="1"/>
    <xf numFmtId="169" fontId="3" fillId="0" borderId="1" xfId="0" applyNumberFormat="1" applyFont="1" applyFill="1" applyBorder="1"/>
    <xf numFmtId="169" fontId="18" fillId="0" borderId="29" xfId="0" applyNumberFormat="1" applyFont="1" applyFill="1" applyBorder="1" applyAlignment="1">
      <alignment horizontal="left"/>
    </xf>
    <xf numFmtId="0" fontId="19" fillId="0" borderId="8" xfId="0" applyFont="1" applyBorder="1"/>
    <xf numFmtId="0" fontId="19" fillId="0" borderId="9" xfId="0" applyFont="1" applyBorder="1"/>
    <xf numFmtId="0" fontId="19" fillId="0" borderId="27" xfId="0" applyFont="1" applyBorder="1"/>
    <xf numFmtId="0" fontId="19" fillId="16" borderId="0" xfId="0" applyFont="1" applyFill="1"/>
    <xf numFmtId="169" fontId="3" fillId="0" borderId="15" xfId="0" applyNumberFormat="1" applyFont="1" applyBorder="1"/>
    <xf numFmtId="43" fontId="8" fillId="0" borderId="17" xfId="0" applyNumberFormat="1" applyFont="1" applyFill="1" applyBorder="1"/>
    <xf numFmtId="169" fontId="3" fillId="0" borderId="17" xfId="0" applyNumberFormat="1" applyFont="1" applyBorder="1"/>
    <xf numFmtId="169" fontId="3" fillId="0" borderId="29" xfId="0" applyNumberFormat="1" applyFont="1" applyBorder="1"/>
    <xf numFmtId="0" fontId="19" fillId="16" borderId="9" xfId="0" applyFont="1" applyFill="1" applyBorder="1"/>
    <xf numFmtId="0" fontId="12" fillId="16" borderId="2" xfId="0" applyFont="1" applyFill="1" applyBorder="1"/>
    <xf numFmtId="0" fontId="12" fillId="16" borderId="4" xfId="0" applyFont="1" applyFill="1" applyBorder="1"/>
    <xf numFmtId="0" fontId="3" fillId="0" borderId="15" xfId="0" applyFont="1" applyBorder="1"/>
    <xf numFmtId="0" fontId="3" fillId="0" borderId="17" xfId="0" applyFont="1" applyBorder="1"/>
    <xf numFmtId="0" fontId="19" fillId="16" borderId="8" xfId="0" applyFont="1" applyFill="1" applyBorder="1"/>
    <xf numFmtId="0" fontId="3" fillId="0" borderId="17" xfId="0" applyFont="1" applyFill="1" applyBorder="1"/>
    <xf numFmtId="0" fontId="3" fillId="3" borderId="2" xfId="0" applyFont="1" applyFill="1" applyBorder="1"/>
    <xf numFmtId="0" fontId="3" fillId="3" borderId="16" xfId="6" applyFont="1" applyFill="1" applyBorder="1" applyAlignment="1">
      <alignment horizontal="left" vertical="center" wrapText="1"/>
    </xf>
    <xf numFmtId="0" fontId="3" fillId="3" borderId="16" xfId="6" applyFont="1" applyFill="1" applyBorder="1" applyAlignment="1" applyProtection="1">
      <alignment horizontal="center" vertical="center" wrapText="1"/>
      <protection locked="0"/>
    </xf>
    <xf numFmtId="0" fontId="3" fillId="3" borderId="15" xfId="6" applyFont="1" applyFill="1" applyBorder="1" applyAlignment="1">
      <alignment horizontal="left" vertical="center" wrapText="1"/>
    </xf>
    <xf numFmtId="10" fontId="3" fillId="2" borderId="28" xfId="6" applyNumberFormat="1" applyFont="1" applyFill="1" applyBorder="1" applyAlignment="1" applyProtection="1">
      <alignment horizontal="center" vertical="center" wrapText="1"/>
      <protection locked="0"/>
    </xf>
    <xf numFmtId="43" fontId="3" fillId="3" borderId="10" xfId="0" applyNumberFormat="1" applyFont="1" applyFill="1" applyBorder="1" applyAlignment="1">
      <alignment horizontal="center"/>
    </xf>
    <xf numFmtId="0" fontId="7" fillId="3" borderId="27" xfId="0" applyFont="1" applyFill="1" applyBorder="1" applyAlignment="1">
      <alignment horizontal="center" wrapText="1"/>
    </xf>
    <xf numFmtId="0" fontId="7" fillId="3" borderId="29" xfId="6" applyFont="1" applyFill="1" applyBorder="1" applyAlignment="1">
      <alignment horizontal="left" vertical="center" wrapText="1"/>
    </xf>
    <xf numFmtId="43" fontId="7" fillId="3" borderId="30" xfId="0" applyNumberFormat="1" applyFont="1" applyFill="1" applyBorder="1" applyAlignment="1">
      <alignment horizontal="center" wrapText="1"/>
    </xf>
    <xf numFmtId="43" fontId="12" fillId="0" borderId="1" xfId="0" applyNumberFormat="1" applyFont="1" applyFill="1" applyBorder="1"/>
    <xf numFmtId="43" fontId="12" fillId="0" borderId="10" xfId="0" applyNumberFormat="1" applyFont="1" applyFill="1" applyBorder="1"/>
    <xf numFmtId="169" fontId="12" fillId="0" borderId="10" xfId="0" applyNumberFormat="1" applyFont="1" applyFill="1" applyBorder="1"/>
    <xf numFmtId="0" fontId="8" fillId="0" borderId="1" xfId="8" applyFont="1" applyFill="1" applyBorder="1" applyAlignment="1" applyProtection="1">
      <alignment horizontal="center" vertical="center" wrapText="1"/>
      <protection hidden="1"/>
    </xf>
    <xf numFmtId="0" fontId="3" fillId="0" borderId="2" xfId="0" applyFont="1" applyBorder="1"/>
    <xf numFmtId="0" fontId="3" fillId="0" borderId="1" xfId="8" applyFont="1" applyFill="1" applyBorder="1" applyAlignment="1" applyProtection="1">
      <alignment vertical="center"/>
      <protection hidden="1"/>
    </xf>
    <xf numFmtId="2" fontId="3" fillId="2" borderId="1" xfId="8" applyNumberFormat="1" applyFont="1" applyFill="1" applyBorder="1" applyAlignment="1" applyProtection="1">
      <alignment vertical="center"/>
      <protection locked="0"/>
    </xf>
    <xf numFmtId="43" fontId="12" fillId="0" borderId="1" xfId="2" applyNumberFormat="1" applyFont="1" applyFill="1" applyBorder="1" applyAlignment="1" applyProtection="1">
      <alignment vertical="center"/>
      <protection hidden="1"/>
    </xf>
    <xf numFmtId="0" fontId="3" fillId="0" borderId="5" xfId="0" applyFont="1" applyBorder="1"/>
    <xf numFmtId="0" fontId="3" fillId="0" borderId="1" xfId="8" applyFont="1" applyFill="1" applyBorder="1" applyAlignment="1" applyProtection="1">
      <alignment horizontal="center" vertical="center" wrapText="1"/>
      <protection hidden="1"/>
    </xf>
    <xf numFmtId="0" fontId="3" fillId="2" borderId="1" xfId="8" applyFont="1" applyFill="1" applyBorder="1" applyAlignment="1" applyProtection="1">
      <alignment vertical="center"/>
      <protection locked="0"/>
    </xf>
    <xf numFmtId="43" fontId="12" fillId="0" borderId="1" xfId="8" applyNumberFormat="1" applyFont="1" applyFill="1" applyBorder="1" applyAlignment="1" applyProtection="1">
      <alignment vertical="center"/>
      <protection hidden="1"/>
    </xf>
    <xf numFmtId="0" fontId="3" fillId="0" borderId="7" xfId="0" applyFont="1" applyBorder="1"/>
    <xf numFmtId="43" fontId="8" fillId="0" borderId="30" xfId="0" applyNumberFormat="1" applyFont="1" applyFill="1" applyBorder="1"/>
    <xf numFmtId="0" fontId="3" fillId="0" borderId="1" xfId="0" applyFont="1" applyBorder="1"/>
    <xf numFmtId="169" fontId="18" fillId="0" borderId="1" xfId="0" applyNumberFormat="1" applyFont="1" applyFill="1" applyBorder="1" applyAlignment="1">
      <alignment horizontal="left"/>
    </xf>
    <xf numFmtId="0" fontId="27" fillId="0" borderId="0" xfId="0" applyFont="1"/>
    <xf numFmtId="180" fontId="27" fillId="0" borderId="31" xfId="0" applyNumberFormat="1" applyFont="1" applyFill="1" applyBorder="1" applyAlignment="1">
      <alignment horizontal="left" vertical="top" wrapText="1"/>
    </xf>
    <xf numFmtId="0" fontId="27" fillId="0" borderId="0" xfId="0" applyFont="1" applyAlignment="1">
      <alignment vertical="top" wrapText="1"/>
    </xf>
    <xf numFmtId="0" fontId="27" fillId="0" borderId="32" xfId="0" applyFont="1" applyBorder="1" applyAlignment="1">
      <alignment vertical="top" wrapText="1"/>
    </xf>
    <xf numFmtId="0" fontId="27" fillId="0" borderId="0" xfId="0" applyFont="1" applyBorder="1" applyAlignment="1">
      <alignment vertical="top" wrapText="1"/>
    </xf>
    <xf numFmtId="0" fontId="27" fillId="0" borderId="38" xfId="0" applyFont="1" applyBorder="1" applyAlignment="1">
      <alignment vertical="top" wrapText="1"/>
    </xf>
    <xf numFmtId="0" fontId="27" fillId="0" borderId="38" xfId="0" applyFont="1" applyBorder="1"/>
    <xf numFmtId="0" fontId="27" fillId="0" borderId="32" xfId="10" applyFont="1" applyFill="1" applyBorder="1" applyAlignment="1">
      <alignment horizontal="center" wrapText="1"/>
    </xf>
    <xf numFmtId="0" fontId="27" fillId="0" borderId="0" xfId="10" applyFont="1" applyFill="1" applyBorder="1" applyAlignment="1">
      <alignment wrapText="1"/>
    </xf>
    <xf numFmtId="180" fontId="27" fillId="0" borderId="0" xfId="0" applyNumberFormat="1" applyFont="1" applyFill="1" applyBorder="1" applyAlignment="1">
      <alignment horizontal="left" vertical="top" wrapText="1"/>
    </xf>
    <xf numFmtId="0" fontId="27" fillId="0" borderId="0" xfId="10" applyFont="1" applyFill="1" applyBorder="1" applyAlignment="1">
      <alignment horizontal="center" wrapText="1"/>
    </xf>
    <xf numFmtId="0" fontId="27" fillId="0" borderId="0" xfId="10" applyFont="1" applyFill="1" applyBorder="1" applyAlignment="1">
      <alignment horizontal="left" wrapText="1"/>
    </xf>
    <xf numFmtId="0" fontId="27" fillId="0" borderId="0" xfId="0" applyFont="1" applyFill="1" applyBorder="1" applyAlignment="1">
      <alignment horizontal="center" wrapText="1"/>
    </xf>
    <xf numFmtId="0" fontId="27" fillId="0" borderId="0" xfId="0" applyFont="1" applyFill="1" applyBorder="1" applyAlignment="1">
      <alignment wrapText="1"/>
    </xf>
    <xf numFmtId="0" fontId="27" fillId="0" borderId="38" xfId="10" applyFont="1" applyFill="1" applyBorder="1" applyAlignment="1">
      <alignment horizontal="center" wrapText="1"/>
    </xf>
    <xf numFmtId="0" fontId="27" fillId="0" borderId="38" xfId="10" applyFont="1" applyFill="1" applyBorder="1" applyAlignment="1">
      <alignment wrapText="1"/>
    </xf>
    <xf numFmtId="0" fontId="27" fillId="0" borderId="40" xfId="0" applyFont="1" applyBorder="1"/>
    <xf numFmtId="0" fontId="27" fillId="0" borderId="41" xfId="0" applyFont="1" applyBorder="1"/>
    <xf numFmtId="0" fontId="27" fillId="26" borderId="0" xfId="0" applyFont="1" applyFill="1" applyBorder="1"/>
    <xf numFmtId="0" fontId="37" fillId="0" borderId="0" xfId="0" applyFont="1"/>
    <xf numFmtId="181" fontId="27" fillId="0" borderId="32" xfId="13" applyNumberFormat="1" applyFont="1" applyFill="1" applyBorder="1" applyAlignment="1" applyProtection="1">
      <alignment horizontal="left" vertical="top"/>
    </xf>
    <xf numFmtId="4" fontId="27" fillId="0" borderId="0" xfId="0" applyNumberFormat="1" applyFont="1" applyFill="1" applyBorder="1" applyAlignment="1" applyProtection="1">
      <alignment horizontal="left" wrapText="1"/>
    </xf>
    <xf numFmtId="0" fontId="27" fillId="0" borderId="0" xfId="0" applyFont="1" applyBorder="1"/>
    <xf numFmtId="0" fontId="27" fillId="0" borderId="33" xfId="0" applyFont="1" applyBorder="1"/>
    <xf numFmtId="0" fontId="27" fillId="0" borderId="32" xfId="0" applyFont="1" applyBorder="1"/>
    <xf numFmtId="0" fontId="27" fillId="0" borderId="33" xfId="0" applyFont="1" applyBorder="1" applyAlignment="1">
      <alignment vertical="top" wrapText="1"/>
    </xf>
    <xf numFmtId="0" fontId="27" fillId="0" borderId="0" xfId="0" applyFont="1" applyFill="1" applyBorder="1" applyAlignment="1">
      <alignment vertical="top" wrapText="1"/>
    </xf>
    <xf numFmtId="0" fontId="38" fillId="0" borderId="32" xfId="0" applyFont="1" applyBorder="1"/>
    <xf numFmtId="0" fontId="39" fillId="0" borderId="32" xfId="0" applyFont="1" applyBorder="1"/>
    <xf numFmtId="0" fontId="27" fillId="0" borderId="0" xfId="0" applyFont="1" applyFill="1" applyBorder="1" applyAlignment="1">
      <alignment horizontal="center" vertical="top" wrapText="1"/>
    </xf>
    <xf numFmtId="0" fontId="27" fillId="0" borderId="34" xfId="0" applyFont="1" applyBorder="1" applyAlignment="1">
      <alignment vertical="top" wrapText="1"/>
    </xf>
    <xf numFmtId="0" fontId="27" fillId="0" borderId="32" xfId="0" applyFont="1" applyBorder="1" applyAlignment="1">
      <alignment wrapText="1"/>
    </xf>
    <xf numFmtId="0" fontId="27" fillId="0" borderId="0" xfId="0" applyFont="1" applyBorder="1" applyAlignment="1">
      <alignment wrapText="1"/>
    </xf>
    <xf numFmtId="0" fontId="27" fillId="0" borderId="33" xfId="0" applyFont="1" applyBorder="1" applyAlignment="1">
      <alignment wrapText="1"/>
    </xf>
    <xf numFmtId="0" fontId="27" fillId="0" borderId="34" xfId="0" applyFont="1" applyBorder="1" applyAlignment="1">
      <alignment wrapText="1"/>
    </xf>
    <xf numFmtId="0" fontId="27" fillId="0" borderId="38" xfId="0" applyFont="1" applyBorder="1" applyAlignment="1">
      <alignment wrapText="1"/>
    </xf>
    <xf numFmtId="0" fontId="27" fillId="0" borderId="35" xfId="0" applyFont="1" applyBorder="1"/>
    <xf numFmtId="0" fontId="27" fillId="0" borderId="32" xfId="0" applyFont="1" applyFill="1" applyBorder="1" applyAlignment="1">
      <alignment horizontal="center" vertical="top" wrapText="1"/>
    </xf>
    <xf numFmtId="0" fontId="27" fillId="0" borderId="31" xfId="10" applyFont="1" applyFill="1" applyBorder="1" applyAlignment="1">
      <alignment horizontal="center" wrapText="1"/>
    </xf>
    <xf numFmtId="0" fontId="27" fillId="0" borderId="31" xfId="10" applyFont="1" applyFill="1" applyBorder="1" applyAlignment="1">
      <alignment wrapText="1"/>
    </xf>
    <xf numFmtId="0" fontId="27" fillId="0" borderId="35" xfId="0" applyFont="1" applyBorder="1" applyAlignment="1">
      <alignment vertical="top" wrapText="1"/>
    </xf>
    <xf numFmtId="0" fontId="27" fillId="0" borderId="34" xfId="10" applyFont="1" applyFill="1" applyBorder="1" applyAlignment="1">
      <alignment horizontal="center" wrapText="1"/>
    </xf>
    <xf numFmtId="0" fontId="38" fillId="0" borderId="0" xfId="0" applyFont="1" applyBorder="1"/>
    <xf numFmtId="0" fontId="27" fillId="0" borderId="38" xfId="0" applyFont="1" applyFill="1" applyBorder="1" applyAlignment="1">
      <alignment horizontal="center" vertical="top" wrapText="1"/>
    </xf>
    <xf numFmtId="0" fontId="27" fillId="0" borderId="38" xfId="0" applyFont="1" applyFill="1" applyBorder="1" applyAlignment="1">
      <alignment vertical="top" wrapText="1"/>
    </xf>
    <xf numFmtId="180" fontId="27" fillId="0" borderId="38" xfId="0" applyNumberFormat="1" applyFont="1" applyFill="1" applyBorder="1" applyAlignment="1">
      <alignment horizontal="left" vertical="top" wrapText="1"/>
    </xf>
    <xf numFmtId="10" fontId="27" fillId="0" borderId="0" xfId="0" applyNumberFormat="1" applyFont="1" applyFill="1" applyBorder="1" applyAlignment="1">
      <alignment vertical="top" wrapText="1"/>
    </xf>
    <xf numFmtId="0" fontId="27" fillId="0" borderId="0" xfId="0" applyFont="1" applyBorder="1" applyAlignment="1">
      <alignment horizontal="left" indent="1"/>
    </xf>
    <xf numFmtId="0" fontId="40" fillId="0" borderId="0" xfId="0" applyFont="1" applyAlignment="1">
      <alignment horizontal="left" indent="1"/>
    </xf>
    <xf numFmtId="0" fontId="27" fillId="0" borderId="0" xfId="0" applyFont="1" applyAlignment="1">
      <alignment horizontal="left" indent="1"/>
    </xf>
    <xf numFmtId="0" fontId="27" fillId="0" borderId="38" xfId="0" applyFont="1" applyFill="1" applyBorder="1" applyAlignment="1">
      <alignment horizontal="center" wrapText="1"/>
    </xf>
    <xf numFmtId="0" fontId="27" fillId="0" borderId="38" xfId="0" applyFont="1" applyFill="1" applyBorder="1" applyAlignment="1">
      <alignment wrapText="1"/>
    </xf>
    <xf numFmtId="0" fontId="41" fillId="0" borderId="38" xfId="12" applyFont="1" applyFill="1" applyBorder="1" applyAlignment="1" applyProtection="1">
      <alignment vertical="top" wrapText="1"/>
    </xf>
    <xf numFmtId="0" fontId="43" fillId="0" borderId="0" xfId="0" applyFont="1"/>
    <xf numFmtId="0" fontId="28" fillId="26" borderId="0" xfId="0" applyFont="1" applyFill="1"/>
    <xf numFmtId="0" fontId="27" fillId="26" borderId="0" xfId="0" applyFont="1" applyFill="1" applyBorder="1" applyProtection="1">
      <protection hidden="1"/>
    </xf>
    <xf numFmtId="0" fontId="27" fillId="26" borderId="0" xfId="0" applyFont="1" applyFill="1" applyBorder="1" applyAlignment="1" applyProtection="1">
      <alignment horizontal="center"/>
      <protection hidden="1"/>
    </xf>
    <xf numFmtId="0" fontId="29" fillId="26" borderId="0" xfId="0" applyFont="1" applyFill="1" applyBorder="1" applyProtection="1">
      <protection hidden="1"/>
    </xf>
    <xf numFmtId="0" fontId="29" fillId="26" borderId="31" xfId="0" applyFont="1" applyFill="1" applyBorder="1" applyAlignment="1" applyProtection="1">
      <alignment horizontal="center"/>
      <protection hidden="1"/>
    </xf>
    <xf numFmtId="0" fontId="29" fillId="26" borderId="0" xfId="0" applyFont="1" applyFill="1" applyBorder="1" applyAlignment="1" applyProtection="1">
      <alignment horizontal="center"/>
      <protection hidden="1"/>
    </xf>
    <xf numFmtId="0" fontId="26" fillId="26" borderId="0" xfId="0" applyFont="1" applyFill="1" applyBorder="1" applyProtection="1">
      <protection hidden="1"/>
    </xf>
    <xf numFmtId="0" fontId="47" fillId="26" borderId="0" xfId="0" applyFont="1" applyFill="1" applyBorder="1" applyProtection="1">
      <protection hidden="1"/>
    </xf>
    <xf numFmtId="0" fontId="47" fillId="26" borderId="0" xfId="0" applyFont="1" applyFill="1" applyBorder="1" applyAlignment="1" applyProtection="1">
      <alignment horizontal="center"/>
      <protection hidden="1"/>
    </xf>
    <xf numFmtId="0" fontId="48" fillId="26" borderId="0" xfId="0" applyFont="1" applyFill="1" applyBorder="1" applyProtection="1">
      <protection hidden="1"/>
    </xf>
    <xf numFmtId="0" fontId="48" fillId="26" borderId="0" xfId="0" applyFont="1" applyFill="1" applyBorder="1" applyAlignment="1" applyProtection="1">
      <alignment horizontal="center"/>
      <protection hidden="1"/>
    </xf>
    <xf numFmtId="0" fontId="27" fillId="0" borderId="1" xfId="0" applyFont="1" applyBorder="1" applyAlignment="1">
      <alignment wrapText="1"/>
    </xf>
    <xf numFmtId="0" fontId="27" fillId="0" borderId="0" xfId="0" applyNumberFormat="1" applyFont="1" applyAlignment="1">
      <alignment horizontal="left" vertical="top"/>
    </xf>
    <xf numFmtId="0" fontId="27" fillId="0" borderId="39" xfId="0" applyNumberFormat="1" applyFont="1" applyBorder="1" applyAlignment="1">
      <alignment horizontal="left" vertical="top"/>
    </xf>
    <xf numFmtId="0" fontId="27" fillId="0" borderId="32" xfId="10" applyNumberFormat="1" applyFont="1" applyFill="1" applyBorder="1" applyAlignment="1">
      <alignment horizontal="center" wrapText="1"/>
    </xf>
    <xf numFmtId="0" fontId="27" fillId="0" borderId="32" xfId="0" applyNumberFormat="1" applyFont="1" applyBorder="1" applyAlignment="1">
      <alignment horizontal="left" vertical="top"/>
    </xf>
    <xf numFmtId="0" fontId="27" fillId="0" borderId="32" xfId="10" applyNumberFormat="1" applyFont="1" applyFill="1" applyBorder="1" applyAlignment="1">
      <alignment horizontal="left"/>
    </xf>
    <xf numFmtId="0" fontId="27" fillId="0" borderId="34" xfId="0" applyNumberFormat="1" applyFont="1" applyBorder="1" applyAlignment="1">
      <alignment horizontal="left" vertical="top"/>
    </xf>
    <xf numFmtId="0" fontId="27" fillId="0" borderId="0" xfId="0" applyNumberFormat="1" applyFont="1" applyBorder="1" applyAlignment="1">
      <alignment horizontal="left" vertical="top"/>
    </xf>
    <xf numFmtId="0" fontId="27" fillId="0" borderId="32" xfId="0" applyNumberFormat="1" applyFont="1" applyBorder="1" applyAlignment="1">
      <alignment vertical="top" wrapText="1"/>
    </xf>
    <xf numFmtId="0" fontId="27" fillId="0" borderId="32" xfId="0" applyNumberFormat="1" applyFont="1" applyBorder="1" applyAlignment="1">
      <alignment horizontal="center" vertical="top" wrapText="1"/>
    </xf>
    <xf numFmtId="0" fontId="27" fillId="0" borderId="0" xfId="0" applyNumberFormat="1" applyFont="1"/>
    <xf numFmtId="0" fontId="27" fillId="0" borderId="40" xfId="0" applyNumberFormat="1" applyFont="1" applyBorder="1" applyAlignment="1">
      <alignment horizontal="left" vertical="top"/>
    </xf>
    <xf numFmtId="0" fontId="27" fillId="0" borderId="0" xfId="0" applyNumberFormat="1" applyFont="1" applyFill="1" applyBorder="1" applyAlignment="1">
      <alignment horizontal="left" vertical="top" wrapText="1"/>
    </xf>
    <xf numFmtId="0" fontId="27" fillId="0" borderId="0" xfId="10" applyNumberFormat="1" applyFont="1" applyFill="1" applyBorder="1" applyAlignment="1">
      <alignment horizontal="left"/>
    </xf>
    <xf numFmtId="0" fontId="27" fillId="0" borderId="0" xfId="10" applyNumberFormat="1" applyFont="1" applyFill="1" applyBorder="1" applyAlignment="1">
      <alignment wrapText="1"/>
    </xf>
    <xf numFmtId="0" fontId="27" fillId="0" borderId="0" xfId="0" applyNumberFormat="1" applyFont="1" applyFill="1" applyBorder="1" applyAlignment="1">
      <alignment horizontal="left" vertical="top"/>
    </xf>
    <xf numFmtId="0" fontId="27" fillId="0" borderId="0" xfId="0" applyNumberFormat="1" applyFont="1" applyAlignment="1">
      <alignment vertical="top" wrapText="1"/>
    </xf>
    <xf numFmtId="0" fontId="27" fillId="0" borderId="38" xfId="0" applyNumberFormat="1" applyFont="1" applyBorder="1" applyAlignment="1">
      <alignment horizontal="left" vertical="top"/>
    </xf>
    <xf numFmtId="0" fontId="27" fillId="0" borderId="0" xfId="0" applyNumberFormat="1" applyFont="1" applyFill="1" applyBorder="1" applyAlignment="1">
      <alignment wrapText="1"/>
    </xf>
    <xf numFmtId="0" fontId="27" fillId="0" borderId="38" xfId="10" applyNumberFormat="1" applyFont="1" applyFill="1" applyBorder="1" applyAlignment="1">
      <alignment horizontal="center" wrapText="1"/>
    </xf>
    <xf numFmtId="0" fontId="27" fillId="0" borderId="0" xfId="0" applyNumberFormat="1" applyFont="1" applyFill="1" applyBorder="1" applyAlignment="1">
      <alignment horizontal="center" wrapText="1"/>
    </xf>
    <xf numFmtId="0" fontId="27" fillId="0" borderId="0" xfId="10" applyNumberFormat="1" applyFont="1" applyFill="1" applyBorder="1" applyAlignment="1">
      <alignment horizontal="center" wrapText="1"/>
    </xf>
    <xf numFmtId="0" fontId="27" fillId="0" borderId="0" xfId="10" applyNumberFormat="1" applyFont="1" applyFill="1" applyBorder="1"/>
    <xf numFmtId="0" fontId="27" fillId="0" borderId="0" xfId="0" applyNumberFormat="1" applyFont="1" applyBorder="1" applyAlignment="1">
      <alignment horizontal="center" vertical="top" wrapText="1"/>
    </xf>
    <xf numFmtId="0" fontId="27" fillId="0" borderId="38" xfId="10" applyNumberFormat="1" applyFont="1" applyFill="1" applyBorder="1" applyAlignment="1">
      <alignment wrapText="1"/>
    </xf>
    <xf numFmtId="0" fontId="27" fillId="0" borderId="0" xfId="0" applyNumberFormat="1" applyFont="1" applyBorder="1" applyAlignment="1">
      <alignment vertical="top" wrapText="1"/>
    </xf>
    <xf numFmtId="0" fontId="0" fillId="0" borderId="0" xfId="0" applyNumberFormat="1"/>
    <xf numFmtId="0" fontId="27" fillId="0" borderId="41" xfId="0" applyNumberFormat="1" applyFont="1" applyBorder="1" applyAlignment="1">
      <alignment horizontal="left" vertical="top"/>
    </xf>
    <xf numFmtId="0" fontId="27" fillId="0" borderId="33" xfId="0" applyNumberFormat="1" applyFont="1" applyBorder="1" applyAlignment="1">
      <alignment horizontal="left" vertical="top"/>
    </xf>
    <xf numFmtId="0" fontId="27" fillId="0" borderId="35" xfId="0" applyNumberFormat="1" applyFont="1" applyBorder="1" applyAlignment="1">
      <alignment horizontal="left" vertical="top"/>
    </xf>
    <xf numFmtId="0" fontId="27" fillId="0" borderId="0" xfId="0" applyNumberFormat="1" applyFont="1" applyFill="1"/>
    <xf numFmtId="0" fontId="27" fillId="24" borderId="31" xfId="0" applyNumberFormat="1" applyFont="1" applyFill="1" applyBorder="1" applyAlignment="1">
      <alignment horizontal="left"/>
    </xf>
    <xf numFmtId="0" fontId="27" fillId="25" borderId="31" xfId="0" applyNumberFormat="1" applyFont="1" applyFill="1" applyBorder="1" applyAlignment="1">
      <alignment horizontal="left"/>
    </xf>
    <xf numFmtId="0" fontId="27" fillId="25" borderId="31" xfId="0" applyNumberFormat="1" applyFont="1" applyFill="1" applyBorder="1" applyAlignment="1">
      <alignment horizontal="center"/>
    </xf>
    <xf numFmtId="0" fontId="27" fillId="25" borderId="31" xfId="0" applyNumberFormat="1" applyFont="1" applyFill="1" applyBorder="1" applyAlignment="1"/>
    <xf numFmtId="0" fontId="28" fillId="25" borderId="31" xfId="0" applyNumberFormat="1" applyFont="1" applyFill="1" applyBorder="1" applyAlignment="1">
      <alignment horizontal="left"/>
    </xf>
    <xf numFmtId="0" fontId="28" fillId="25" borderId="31" xfId="0" applyNumberFormat="1" applyFont="1" applyFill="1" applyBorder="1" applyAlignment="1">
      <alignment horizontal="center"/>
    </xf>
    <xf numFmtId="0" fontId="28" fillId="25" borderId="31" xfId="0" applyNumberFormat="1" applyFont="1" applyFill="1" applyBorder="1" applyAlignment="1"/>
    <xf numFmtId="0" fontId="31" fillId="25" borderId="31" xfId="0" applyNumberFormat="1" applyFont="1" applyFill="1" applyBorder="1" applyAlignment="1">
      <alignment horizontal="left"/>
    </xf>
    <xf numFmtId="0" fontId="31" fillId="25" borderId="31" xfId="0" applyNumberFormat="1" applyFont="1" applyFill="1" applyBorder="1" applyAlignment="1">
      <alignment horizontal="center"/>
    </xf>
    <xf numFmtId="0" fontId="30" fillId="25" borderId="31" xfId="0" applyNumberFormat="1" applyFont="1" applyFill="1" applyBorder="1" applyAlignment="1"/>
    <xf numFmtId="0" fontId="30" fillId="25" borderId="31" xfId="0" applyNumberFormat="1" applyFont="1" applyFill="1" applyBorder="1" applyAlignment="1">
      <alignment horizontal="left"/>
    </xf>
    <xf numFmtId="0" fontId="27" fillId="0" borderId="5" xfId="0" applyNumberFormat="1" applyFont="1" applyBorder="1" applyAlignment="1">
      <alignment vertical="top" wrapText="1"/>
    </xf>
    <xf numFmtId="0" fontId="27" fillId="0" borderId="0" xfId="0" applyNumberFormat="1" applyFont="1" applyBorder="1"/>
    <xf numFmtId="0" fontId="38" fillId="0" borderId="0" xfId="0" applyNumberFormat="1" applyFont="1" applyBorder="1" applyAlignment="1">
      <alignment horizontal="left" vertical="top"/>
    </xf>
    <xf numFmtId="0" fontId="38" fillId="0" borderId="0" xfId="0" applyNumberFormat="1" applyFont="1" applyFill="1" applyBorder="1" applyAlignment="1">
      <alignment horizontal="left" vertical="top"/>
    </xf>
    <xf numFmtId="0" fontId="38" fillId="0" borderId="6" xfId="0" applyNumberFormat="1" applyFont="1" applyBorder="1" applyAlignment="1">
      <alignment horizontal="left" vertical="top"/>
    </xf>
    <xf numFmtId="0" fontId="27" fillId="6" borderId="5" xfId="0" applyNumberFormat="1" applyFont="1" applyFill="1" applyBorder="1" applyAlignment="1">
      <alignment vertical="top" wrapText="1"/>
    </xf>
    <xf numFmtId="0" fontId="27" fillId="6" borderId="0" xfId="0" applyNumberFormat="1" applyFont="1" applyFill="1" applyBorder="1"/>
    <xf numFmtId="0" fontId="38" fillId="6" borderId="0" xfId="0" applyNumberFormat="1" applyFont="1" applyFill="1" applyBorder="1" applyAlignment="1">
      <alignment horizontal="left" vertical="top"/>
    </xf>
    <xf numFmtId="0" fontId="40" fillId="6" borderId="0" xfId="0" applyNumberFormat="1" applyFont="1" applyFill="1" applyBorder="1" applyAlignment="1">
      <alignment horizontal="left" vertical="top"/>
    </xf>
    <xf numFmtId="0" fontId="27" fillId="7" borderId="5" xfId="0" applyNumberFormat="1" applyFont="1" applyFill="1" applyBorder="1" applyAlignment="1">
      <alignment vertical="top" wrapText="1"/>
    </xf>
    <xf numFmtId="0" fontId="27" fillId="7" borderId="0" xfId="0" applyNumberFormat="1" applyFont="1" applyFill="1" applyBorder="1" applyAlignment="1">
      <alignment vertical="top" wrapText="1"/>
    </xf>
    <xf numFmtId="0" fontId="27" fillId="7" borderId="0" xfId="0" applyNumberFormat="1" applyFont="1" applyFill="1" applyBorder="1"/>
    <xf numFmtId="0" fontId="38" fillId="7" borderId="0" xfId="0" applyNumberFormat="1" applyFont="1" applyFill="1" applyBorder="1" applyAlignment="1">
      <alignment horizontal="left" vertical="top"/>
    </xf>
    <xf numFmtId="0" fontId="38" fillId="7" borderId="6" xfId="0" applyNumberFormat="1" applyFont="1" applyFill="1" applyBorder="1" applyAlignment="1">
      <alignment horizontal="left" vertical="top"/>
    </xf>
    <xf numFmtId="0" fontId="38" fillId="0" borderId="5" xfId="0" applyNumberFormat="1" applyFont="1" applyBorder="1" applyAlignment="1">
      <alignment horizontal="left" vertical="top"/>
    </xf>
    <xf numFmtId="0" fontId="38" fillId="0" borderId="6" xfId="0" applyNumberFormat="1" applyFont="1" applyFill="1" applyBorder="1" applyAlignment="1">
      <alignment horizontal="left" vertical="top"/>
    </xf>
    <xf numFmtId="0" fontId="40" fillId="29" borderId="5" xfId="0" applyNumberFormat="1" applyFont="1" applyFill="1" applyBorder="1" applyAlignment="1">
      <alignment horizontal="left" vertical="top"/>
    </xf>
    <xf numFmtId="0" fontId="31" fillId="29" borderId="0" xfId="0" applyNumberFormat="1" applyFont="1" applyFill="1" applyBorder="1" applyAlignment="1">
      <alignment vertical="top" wrapText="1"/>
    </xf>
    <xf numFmtId="0" fontId="40" fillId="29" borderId="0" xfId="0" applyNumberFormat="1" applyFont="1" applyFill="1" applyBorder="1" applyAlignment="1">
      <alignment horizontal="left" vertical="top"/>
    </xf>
    <xf numFmtId="0" fontId="40" fillId="29" borderId="6" xfId="0" applyNumberFormat="1" applyFont="1" applyFill="1" applyBorder="1" applyAlignment="1">
      <alignment horizontal="left" vertical="top"/>
    </xf>
    <xf numFmtId="0" fontId="51" fillId="7" borderId="5" xfId="0" applyNumberFormat="1" applyFont="1" applyFill="1" applyBorder="1" applyAlignment="1">
      <alignment horizontal="left" vertical="top"/>
    </xf>
    <xf numFmtId="0" fontId="51" fillId="7" borderId="0" xfId="0" applyNumberFormat="1" applyFont="1" applyFill="1" applyBorder="1" applyAlignment="1">
      <alignment vertical="top" wrapText="1"/>
    </xf>
    <xf numFmtId="0" fontId="51" fillId="7" borderId="6" xfId="0" applyNumberFormat="1" applyFont="1" applyFill="1" applyBorder="1" applyAlignment="1">
      <alignment vertical="top" wrapText="1"/>
    </xf>
    <xf numFmtId="0" fontId="52" fillId="7" borderId="0" xfId="0" applyNumberFormat="1" applyFont="1" applyFill="1" applyBorder="1" applyAlignment="1">
      <alignment vertical="top" wrapText="1"/>
    </xf>
    <xf numFmtId="0" fontId="51" fillId="7" borderId="0" xfId="0" applyNumberFormat="1" applyFont="1" applyFill="1" applyBorder="1" applyAlignment="1">
      <alignment horizontal="left" vertical="top"/>
    </xf>
    <xf numFmtId="0" fontId="51" fillId="7" borderId="6" xfId="0" applyNumberFormat="1" applyFont="1" applyFill="1" applyBorder="1" applyAlignment="1">
      <alignment horizontal="left" vertical="top"/>
    </xf>
    <xf numFmtId="0" fontId="38" fillId="0" borderId="7" xfId="0" applyNumberFormat="1" applyFont="1" applyBorder="1" applyAlignment="1">
      <alignment horizontal="left" vertical="top"/>
    </xf>
    <xf numFmtId="0" fontId="38" fillId="0" borderId="8" xfId="0" applyNumberFormat="1" applyFont="1" applyBorder="1" applyAlignment="1">
      <alignment horizontal="left" vertical="top"/>
    </xf>
    <xf numFmtId="0" fontId="38" fillId="0" borderId="9" xfId="0" applyNumberFormat="1" applyFont="1" applyBorder="1" applyAlignment="1">
      <alignment horizontal="left" vertical="top"/>
    </xf>
    <xf numFmtId="0" fontId="27" fillId="0" borderId="0" xfId="0" applyNumberFormat="1" applyFont="1" applyFill="1" applyBorder="1"/>
    <xf numFmtId="0" fontId="27" fillId="0" borderId="38" xfId="0" applyNumberFormat="1" applyFont="1" applyBorder="1" applyAlignment="1">
      <alignment horizontal="center" vertical="top" wrapText="1"/>
    </xf>
    <xf numFmtId="0" fontId="27" fillId="0" borderId="38" xfId="0" applyNumberFormat="1" applyFont="1" applyBorder="1" applyAlignment="1">
      <alignment vertical="top" wrapText="1"/>
    </xf>
    <xf numFmtId="0" fontId="27" fillId="27" borderId="0" xfId="0" applyNumberFormat="1" applyFont="1" applyFill="1" applyBorder="1" applyAlignment="1">
      <alignment horizontal="left" vertical="top"/>
    </xf>
    <xf numFmtId="0" fontId="27" fillId="0" borderId="0" xfId="10" applyNumberFormat="1" applyFont="1" applyFill="1" applyBorder="1" applyAlignment="1">
      <alignment horizontal="left" wrapText="1"/>
    </xf>
    <xf numFmtId="0" fontId="27" fillId="27" borderId="35" xfId="0" applyNumberFormat="1" applyFont="1" applyFill="1" applyBorder="1" applyAlignment="1">
      <alignment horizontal="left" vertical="top"/>
    </xf>
    <xf numFmtId="0" fontId="27" fillId="0" borderId="47" xfId="0" applyNumberFormat="1" applyFont="1" applyBorder="1" applyAlignment="1">
      <alignment vertical="top" wrapText="1"/>
    </xf>
    <xf numFmtId="0" fontId="27" fillId="0" borderId="47" xfId="10" applyNumberFormat="1" applyFont="1" applyFill="1" applyBorder="1" applyAlignment="1">
      <alignment horizontal="center" wrapText="1"/>
    </xf>
    <xf numFmtId="0" fontId="27" fillId="0" borderId="23" xfId="0" applyNumberFormat="1" applyFont="1" applyBorder="1" applyAlignment="1">
      <alignment horizontal="left" vertical="top"/>
    </xf>
    <xf numFmtId="0" fontId="27" fillId="0" borderId="46" xfId="0" applyNumberFormat="1" applyFont="1" applyBorder="1" applyAlignment="1">
      <alignment horizontal="left" vertical="top"/>
    </xf>
    <xf numFmtId="0" fontId="27" fillId="0" borderId="48" xfId="0" applyNumberFormat="1" applyFont="1" applyBorder="1" applyAlignment="1">
      <alignment horizontal="left" vertical="top"/>
    </xf>
    <xf numFmtId="0" fontId="27" fillId="0" borderId="47" xfId="0" applyNumberFormat="1" applyFont="1" applyBorder="1" applyAlignment="1">
      <alignment horizontal="left" vertical="top"/>
    </xf>
    <xf numFmtId="0" fontId="27" fillId="0" borderId="40" xfId="0" applyNumberFormat="1" applyFont="1" applyFill="1" applyBorder="1" applyAlignment="1">
      <alignment horizontal="left" vertical="top"/>
    </xf>
    <xf numFmtId="0" fontId="27" fillId="0" borderId="32" xfId="0" applyNumberFormat="1" applyFont="1" applyFill="1" applyBorder="1" applyAlignment="1">
      <alignment horizontal="center" vertical="top" wrapText="1"/>
    </xf>
    <xf numFmtId="0" fontId="27" fillId="0" borderId="0" xfId="0" applyNumberFormat="1" applyFont="1" applyFill="1" applyBorder="1" applyAlignment="1">
      <alignment vertical="top" wrapText="1"/>
    </xf>
    <xf numFmtId="0" fontId="27" fillId="0" borderId="34" xfId="0" applyNumberFormat="1" applyFont="1" applyFill="1" applyBorder="1" applyAlignment="1">
      <alignment horizontal="left" vertical="top"/>
    </xf>
    <xf numFmtId="0" fontId="27" fillId="0" borderId="38" xfId="0" applyNumberFormat="1" applyFont="1" applyFill="1" applyBorder="1" applyAlignment="1">
      <alignment horizontal="center" vertical="top" wrapText="1"/>
    </xf>
    <xf numFmtId="0" fontId="27" fillId="0" borderId="38" xfId="0" applyNumberFormat="1" applyFont="1" applyFill="1" applyBorder="1" applyAlignment="1">
      <alignment vertical="top" wrapText="1"/>
    </xf>
    <xf numFmtId="0" fontId="27" fillId="0" borderId="0" xfId="0" applyNumberFormat="1" applyFont="1" applyFill="1" applyAlignment="1">
      <alignment horizontal="left" vertical="top"/>
    </xf>
    <xf numFmtId="0" fontId="27" fillId="0" borderId="39" xfId="0" applyNumberFormat="1" applyFont="1" applyFill="1" applyBorder="1"/>
    <xf numFmtId="0" fontId="27" fillId="0" borderId="40" xfId="0" applyNumberFormat="1" applyFont="1" applyFill="1" applyBorder="1"/>
    <xf numFmtId="0" fontId="31" fillId="0" borderId="40" xfId="0" applyNumberFormat="1" applyFont="1" applyFill="1" applyBorder="1" applyAlignment="1">
      <alignment horizontal="left"/>
    </xf>
    <xf numFmtId="0" fontId="27" fillId="0" borderId="34" xfId="0" applyNumberFormat="1" applyFont="1" applyFill="1" applyBorder="1"/>
    <xf numFmtId="0" fontId="27" fillId="0" borderId="0" xfId="0" applyNumberFormat="1" applyFont="1" applyFill="1" applyBorder="1" applyAlignment="1"/>
    <xf numFmtId="0" fontId="27" fillId="0" borderId="33" xfId="0" applyNumberFormat="1" applyFont="1" applyFill="1" applyBorder="1" applyAlignment="1"/>
    <xf numFmtId="0" fontId="27" fillId="0" borderId="33" xfId="0" applyNumberFormat="1" applyFont="1" applyFill="1" applyBorder="1"/>
    <xf numFmtId="0" fontId="27" fillId="0" borderId="38" xfId="0" applyNumberFormat="1" applyFont="1" applyFill="1" applyBorder="1"/>
    <xf numFmtId="0" fontId="27" fillId="0" borderId="35" xfId="0" applyNumberFormat="1" applyFont="1" applyFill="1" applyBorder="1"/>
    <xf numFmtId="0" fontId="27" fillId="0" borderId="41" xfId="0" applyNumberFormat="1" applyFont="1" applyFill="1" applyBorder="1"/>
    <xf numFmtId="0" fontId="27" fillId="0" borderId="45" xfId="0" applyNumberFormat="1" applyFont="1" applyFill="1" applyBorder="1"/>
    <xf numFmtId="0" fontId="27" fillId="0" borderId="23" xfId="0" applyNumberFormat="1" applyFont="1" applyFill="1" applyBorder="1"/>
    <xf numFmtId="0" fontId="31" fillId="0" borderId="23" xfId="0" applyNumberFormat="1" applyFont="1" applyFill="1" applyBorder="1" applyAlignment="1">
      <alignment horizontal="left"/>
    </xf>
    <xf numFmtId="0" fontId="31" fillId="0" borderId="46" xfId="0" applyNumberFormat="1" applyFont="1" applyFill="1" applyBorder="1" applyAlignment="1">
      <alignment horizontal="left"/>
    </xf>
    <xf numFmtId="0" fontId="27" fillId="0" borderId="47" xfId="0" applyNumberFormat="1" applyFont="1" applyFill="1" applyBorder="1"/>
    <xf numFmtId="0" fontId="27" fillId="0" borderId="48" xfId="0" applyNumberFormat="1" applyFont="1" applyFill="1" applyBorder="1" applyAlignment="1"/>
    <xf numFmtId="0" fontId="27" fillId="0" borderId="48" xfId="0" applyNumberFormat="1" applyFont="1" applyFill="1" applyBorder="1"/>
    <xf numFmtId="0" fontId="27" fillId="0" borderId="49" xfId="0" applyNumberFormat="1" applyFont="1" applyFill="1" applyBorder="1"/>
    <xf numFmtId="0" fontId="27" fillId="0" borderId="22" xfId="0" applyNumberFormat="1" applyFont="1" applyFill="1" applyBorder="1" applyAlignment="1">
      <alignment horizontal="center" vertical="top" wrapText="1"/>
    </xf>
    <xf numFmtId="0" fontId="27" fillId="0" borderId="22" xfId="0" applyNumberFormat="1" applyFont="1" applyFill="1" applyBorder="1" applyAlignment="1">
      <alignment vertical="top" wrapText="1"/>
    </xf>
    <xf numFmtId="0" fontId="27" fillId="0" borderId="22" xfId="0" applyNumberFormat="1" applyFont="1" applyFill="1" applyBorder="1"/>
    <xf numFmtId="0" fontId="27" fillId="0" borderId="50" xfId="0" applyNumberFormat="1" applyFont="1" applyFill="1" applyBorder="1"/>
    <xf numFmtId="0" fontId="27" fillId="27" borderId="1" xfId="0" applyNumberFormat="1" applyFont="1" applyFill="1" applyBorder="1" applyAlignment="1">
      <alignment horizontal="left" vertical="top"/>
    </xf>
    <xf numFmtId="0" fontId="27" fillId="30" borderId="1" xfId="0" applyNumberFormat="1" applyFont="1" applyFill="1" applyBorder="1"/>
    <xf numFmtId="0" fontId="27" fillId="0" borderId="0" xfId="0" applyNumberFormat="1" applyFont="1" applyFill="1" applyBorder="1" applyAlignment="1">
      <alignment vertical="top" wrapText="1"/>
    </xf>
    <xf numFmtId="170" fontId="27" fillId="27" borderId="0" xfId="1" applyNumberFormat="1" applyFont="1" applyFill="1" applyBorder="1" applyAlignment="1">
      <alignment horizontal="left" vertical="top"/>
    </xf>
    <xf numFmtId="0" fontId="27" fillId="31" borderId="1" xfId="0" applyFont="1" applyFill="1" applyBorder="1"/>
    <xf numFmtId="0" fontId="27" fillId="31" borderId="1" xfId="0" applyFont="1" applyFill="1" applyBorder="1" applyAlignment="1">
      <alignment wrapText="1"/>
    </xf>
    <xf numFmtId="9" fontId="27" fillId="31" borderId="1" xfId="0" applyNumberFormat="1" applyFont="1" applyFill="1" applyBorder="1"/>
    <xf numFmtId="10" fontId="27" fillId="31" borderId="1" xfId="0" applyNumberFormat="1" applyFont="1" applyFill="1" applyBorder="1" applyAlignment="1">
      <alignment vertical="top" wrapText="1"/>
    </xf>
    <xf numFmtId="0" fontId="27" fillId="32" borderId="1" xfId="0" applyFont="1" applyFill="1" applyBorder="1" applyAlignment="1">
      <alignment vertical="top" wrapText="1"/>
    </xf>
    <xf numFmtId="9" fontId="27" fillId="32" borderId="1" xfId="0" applyNumberFormat="1" applyFont="1" applyFill="1" applyBorder="1" applyAlignment="1">
      <alignment vertical="top" wrapText="1"/>
    </xf>
    <xf numFmtId="10" fontId="27" fillId="31" borderId="1" xfId="0" applyNumberFormat="1" applyFont="1" applyFill="1" applyBorder="1"/>
    <xf numFmtId="0" fontId="27" fillId="31" borderId="1" xfId="0" applyFont="1" applyFill="1" applyBorder="1" applyAlignment="1">
      <alignment vertical="top" wrapText="1"/>
    </xf>
    <xf numFmtId="0" fontId="27" fillId="32" borderId="1" xfId="0" applyFont="1" applyFill="1" applyBorder="1"/>
    <xf numFmtId="10" fontId="27" fillId="0" borderId="1" xfId="0" applyNumberFormat="1" applyFont="1" applyFill="1" applyBorder="1" applyAlignment="1">
      <alignment vertical="top" wrapText="1"/>
    </xf>
    <xf numFmtId="0" fontId="27" fillId="26" borderId="1" xfId="0" applyFont="1" applyFill="1" applyBorder="1" applyAlignment="1" applyProtection="1">
      <alignment horizontal="left"/>
      <protection hidden="1"/>
    </xf>
    <xf numFmtId="0" fontId="27" fillId="26" borderId="2" xfId="0" applyFont="1" applyFill="1" applyBorder="1" applyProtection="1">
      <protection hidden="1"/>
    </xf>
    <xf numFmtId="0" fontId="45" fillId="26" borderId="3" xfId="0" applyFont="1" applyFill="1" applyBorder="1" applyProtection="1">
      <protection hidden="1"/>
    </xf>
    <xf numFmtId="0" fontId="27" fillId="26" borderId="3" xfId="0" applyFont="1" applyFill="1" applyBorder="1" applyAlignment="1" applyProtection="1">
      <alignment horizontal="center"/>
      <protection hidden="1"/>
    </xf>
    <xf numFmtId="0" fontId="27" fillId="26" borderId="3" xfId="0" applyFont="1" applyFill="1" applyBorder="1" applyProtection="1">
      <protection hidden="1"/>
    </xf>
    <xf numFmtId="0" fontId="27" fillId="26" borderId="5" xfId="0" applyFont="1" applyFill="1" applyBorder="1" applyProtection="1">
      <protection hidden="1"/>
    </xf>
    <xf numFmtId="0" fontId="27" fillId="26" borderId="17" xfId="0" applyFont="1" applyFill="1" applyBorder="1" applyAlignment="1" applyProtection="1">
      <alignment horizontal="left"/>
      <protection hidden="1"/>
    </xf>
    <xf numFmtId="0" fontId="29" fillId="26" borderId="5" xfId="0" applyFont="1" applyFill="1" applyBorder="1" applyProtection="1">
      <protection hidden="1"/>
    </xf>
    <xf numFmtId="0" fontId="29" fillId="26" borderId="5" xfId="0" applyFont="1" applyFill="1" applyBorder="1" applyAlignment="1" applyProtection="1">
      <alignment horizontal="center"/>
      <protection hidden="1"/>
    </xf>
    <xf numFmtId="0" fontId="38" fillId="6" borderId="5" xfId="0" applyNumberFormat="1" applyFont="1" applyFill="1" applyBorder="1" applyAlignment="1">
      <alignment horizontal="left" vertical="top"/>
    </xf>
    <xf numFmtId="0" fontId="38" fillId="6" borderId="6" xfId="0" applyNumberFormat="1" applyFont="1" applyFill="1" applyBorder="1" applyAlignment="1">
      <alignment horizontal="left" vertical="top"/>
    </xf>
    <xf numFmtId="0" fontId="38" fillId="0" borderId="5" xfId="0" applyNumberFormat="1" applyFont="1" applyFill="1" applyBorder="1" applyAlignment="1">
      <alignment horizontal="left" vertical="top"/>
    </xf>
    <xf numFmtId="0" fontId="27" fillId="6" borderId="0" xfId="0" applyNumberFormat="1" applyFont="1" applyFill="1" applyBorder="1" applyAlignment="1">
      <alignment vertical="top" wrapText="1"/>
    </xf>
    <xf numFmtId="0" fontId="22" fillId="0" borderId="8" xfId="10" applyFont="1" applyFill="1" applyBorder="1" applyAlignment="1">
      <alignment horizontal="center" wrapText="1"/>
    </xf>
    <xf numFmtId="180" fontId="22" fillId="0" borderId="8" xfId="0" applyNumberFormat="1" applyFont="1" applyFill="1" applyBorder="1" applyAlignment="1">
      <alignment horizontal="left" vertical="top" wrapText="1"/>
    </xf>
    <xf numFmtId="0" fontId="27" fillId="0" borderId="5" xfId="0" applyNumberFormat="1" applyFont="1" applyFill="1" applyBorder="1" applyAlignment="1">
      <alignment vertical="top" wrapText="1"/>
    </xf>
    <xf numFmtId="0" fontId="27" fillId="0" borderId="0" xfId="0" applyFont="1" applyFill="1" applyBorder="1" applyAlignment="1">
      <alignment vertical="top" wrapText="1"/>
    </xf>
    <xf numFmtId="0" fontId="0" fillId="0" borderId="38" xfId="0" applyFill="1" applyBorder="1"/>
    <xf numFmtId="0" fontId="27" fillId="0" borderId="47" xfId="0" applyNumberFormat="1" applyFont="1" applyBorder="1" applyAlignment="1">
      <alignment horizontal="center" vertical="top" wrapText="1"/>
    </xf>
    <xf numFmtId="0" fontId="27" fillId="8" borderId="47" xfId="0" applyNumberFormat="1" applyFont="1" applyFill="1" applyBorder="1" applyAlignment="1">
      <alignment horizontal="left" vertical="top"/>
    </xf>
    <xf numFmtId="0" fontId="27" fillId="8" borderId="0" xfId="0" applyNumberFormat="1" applyFont="1" applyFill="1" applyBorder="1" applyAlignment="1">
      <alignment horizontal="center" vertical="top" wrapText="1"/>
    </xf>
    <xf numFmtId="0" fontId="27" fillId="8" borderId="0" xfId="0" applyNumberFormat="1" applyFont="1" applyFill="1" applyBorder="1" applyAlignment="1">
      <alignment vertical="top" wrapText="1"/>
    </xf>
    <xf numFmtId="0" fontId="27" fillId="8" borderId="0" xfId="0" applyNumberFormat="1" applyFont="1" applyFill="1" applyBorder="1" applyAlignment="1">
      <alignment horizontal="left" vertical="top"/>
    </xf>
    <xf numFmtId="0" fontId="27" fillId="8" borderId="48" xfId="0" applyNumberFormat="1" applyFont="1" applyFill="1" applyBorder="1" applyAlignment="1">
      <alignment horizontal="left" vertical="top"/>
    </xf>
    <xf numFmtId="0" fontId="27" fillId="8" borderId="49" xfId="0" applyNumberFormat="1" applyFont="1" applyFill="1" applyBorder="1" applyAlignment="1">
      <alignment horizontal="left" vertical="top"/>
    </xf>
    <xf numFmtId="0" fontId="27" fillId="8" borderId="22" xfId="0" applyNumberFormat="1" applyFont="1" applyFill="1" applyBorder="1" applyAlignment="1">
      <alignment horizontal="left" vertical="top"/>
    </xf>
    <xf numFmtId="0" fontId="27" fillId="8" borderId="50" xfId="0" applyNumberFormat="1" applyFont="1" applyFill="1" applyBorder="1" applyAlignment="1">
      <alignment horizontal="left" vertical="top"/>
    </xf>
    <xf numFmtId="0" fontId="27" fillId="8" borderId="33" xfId="0" applyNumberFormat="1" applyFont="1" applyFill="1" applyBorder="1" applyAlignment="1">
      <alignment horizontal="left" vertical="top"/>
    </xf>
    <xf numFmtId="0" fontId="27" fillId="8" borderId="32" xfId="0" applyNumberFormat="1" applyFont="1" applyFill="1" applyBorder="1" applyAlignment="1">
      <alignment horizontal="left" vertical="top"/>
    </xf>
    <xf numFmtId="0" fontId="27" fillId="27" borderId="48" xfId="0" applyNumberFormat="1" applyFont="1" applyFill="1" applyBorder="1" applyAlignment="1">
      <alignment horizontal="left" vertical="top"/>
    </xf>
    <xf numFmtId="0" fontId="27" fillId="0" borderId="47" xfId="10" applyNumberFormat="1" applyFont="1" applyFill="1" applyBorder="1" applyAlignment="1">
      <alignment horizontal="left"/>
    </xf>
    <xf numFmtId="166" fontId="27" fillId="8" borderId="50" xfId="0" applyNumberFormat="1" applyFont="1" applyFill="1" applyBorder="1" applyAlignment="1">
      <alignment horizontal="left" vertical="top"/>
    </xf>
    <xf numFmtId="0" fontId="27" fillId="8" borderId="0" xfId="10" applyNumberFormat="1" applyFont="1" applyFill="1" applyBorder="1" applyAlignment="1">
      <alignment wrapText="1"/>
    </xf>
    <xf numFmtId="0" fontId="27" fillId="33" borderId="48" xfId="0" applyNumberFormat="1" applyFont="1" applyFill="1" applyBorder="1" applyAlignment="1">
      <alignment horizontal="left" vertical="top"/>
    </xf>
    <xf numFmtId="0" fontId="27" fillId="0" borderId="0" xfId="0" applyNumberFormat="1" applyFont="1" applyFill="1" applyBorder="1" applyAlignment="1">
      <alignment horizontal="center" vertical="top" wrapText="1"/>
    </xf>
    <xf numFmtId="0" fontId="27" fillId="0" borderId="23" xfId="0" applyNumberFormat="1" applyFont="1" applyFill="1" applyBorder="1" applyAlignment="1">
      <alignment horizontal="left" vertical="top"/>
    </xf>
    <xf numFmtId="0" fontId="27" fillId="0" borderId="47" xfId="9" applyNumberFormat="1" applyFont="1" applyFill="1" applyBorder="1" applyAlignment="1">
      <alignment horizontal="center" vertical="top" wrapText="1"/>
    </xf>
    <xf numFmtId="0" fontId="27" fillId="0" borderId="47" xfId="0" applyNumberFormat="1" applyFont="1" applyFill="1" applyBorder="1" applyAlignment="1">
      <alignment horizontal="left" vertical="top"/>
    </xf>
    <xf numFmtId="0" fontId="31" fillId="0" borderId="0" xfId="0" applyNumberFormat="1" applyFont="1" applyFill="1" applyBorder="1" applyAlignment="1">
      <alignment horizontal="left"/>
    </xf>
    <xf numFmtId="0" fontId="27" fillId="30" borderId="0" xfId="0" applyNumberFormat="1" applyFont="1" applyFill="1" applyBorder="1"/>
    <xf numFmtId="0" fontId="27" fillId="0" borderId="46" xfId="0" applyNumberFormat="1" applyFont="1" applyFill="1" applyBorder="1"/>
    <xf numFmtId="0" fontId="27" fillId="0" borderId="47" xfId="0" applyNumberFormat="1" applyFont="1" applyFill="1" applyBorder="1" applyAlignment="1">
      <alignment horizontal="center" vertical="top" wrapText="1"/>
    </xf>
    <xf numFmtId="0" fontId="27" fillId="0" borderId="0" xfId="0" applyNumberFormat="1" applyFont="1" applyFill="1" applyBorder="1" applyAlignment="1">
      <alignment vertical="top" wrapText="1"/>
    </xf>
    <xf numFmtId="0" fontId="27" fillId="0" borderId="47" xfId="10" applyFont="1" applyFill="1" applyBorder="1" applyAlignment="1">
      <alignment horizontal="center" wrapText="1"/>
    </xf>
    <xf numFmtId="0" fontId="27" fillId="0" borderId="47" xfId="0" applyFont="1" applyFill="1" applyBorder="1" applyAlignment="1">
      <alignment horizontal="center" vertical="top" wrapText="1"/>
    </xf>
    <xf numFmtId="0" fontId="27" fillId="34" borderId="0" xfId="0" applyNumberFormat="1" applyFont="1" applyFill="1" applyBorder="1" applyAlignment="1">
      <alignment horizontal="left" vertical="top"/>
    </xf>
    <xf numFmtId="0" fontId="27" fillId="34" borderId="47" xfId="0" applyNumberFormat="1" applyFont="1" applyFill="1" applyBorder="1" applyAlignment="1">
      <alignment horizontal="left" vertical="top"/>
    </xf>
    <xf numFmtId="0" fontId="27" fillId="34" borderId="0" xfId="0" applyNumberFormat="1" applyFont="1" applyFill="1" applyBorder="1" applyAlignment="1">
      <alignment horizontal="center" vertical="top" wrapText="1"/>
    </xf>
    <xf numFmtId="0" fontId="27" fillId="34" borderId="0" xfId="0" applyNumberFormat="1" applyFont="1" applyFill="1" applyBorder="1" applyAlignment="1">
      <alignment vertical="top" wrapText="1"/>
    </xf>
    <xf numFmtId="0" fontId="27" fillId="34" borderId="48" xfId="0" applyNumberFormat="1" applyFont="1" applyFill="1" applyBorder="1" applyAlignment="1">
      <alignment horizontal="left" vertical="top"/>
    </xf>
    <xf numFmtId="0" fontId="27" fillId="34" borderId="49" xfId="0" applyNumberFormat="1" applyFont="1" applyFill="1" applyBorder="1" applyAlignment="1">
      <alignment horizontal="left" vertical="top"/>
    </xf>
    <xf numFmtId="0" fontId="27" fillId="34" borderId="22" xfId="0" applyNumberFormat="1" applyFont="1" applyFill="1" applyBorder="1" applyAlignment="1">
      <alignment horizontal="left" vertical="top"/>
    </xf>
    <xf numFmtId="0" fontId="27" fillId="34" borderId="22" xfId="0" applyFont="1" applyFill="1" applyBorder="1" applyAlignment="1">
      <alignment horizontal="left" vertical="top"/>
    </xf>
    <xf numFmtId="0" fontId="27" fillId="34" borderId="50" xfId="0" applyFont="1" applyFill="1" applyBorder="1" applyAlignment="1">
      <alignment horizontal="left" vertical="top"/>
    </xf>
    <xf numFmtId="0" fontId="27" fillId="0" borderId="47" xfId="0" applyFont="1" applyFill="1" applyBorder="1" applyAlignment="1">
      <alignment horizontal="center" wrapText="1"/>
    </xf>
    <xf numFmtId="0" fontId="27" fillId="0" borderId="47" xfId="0" applyFont="1" applyBorder="1" applyAlignment="1">
      <alignment vertical="top" wrapText="1"/>
    </xf>
    <xf numFmtId="0" fontId="27" fillId="0" borderId="23" xfId="0" applyFont="1" applyBorder="1"/>
    <xf numFmtId="0" fontId="27" fillId="0" borderId="46" xfId="0" applyFont="1" applyBorder="1"/>
    <xf numFmtId="181" fontId="27" fillId="0" borderId="47" xfId="13" applyNumberFormat="1" applyFont="1" applyFill="1" applyBorder="1" applyAlignment="1" applyProtection="1">
      <alignment horizontal="left" vertical="top"/>
    </xf>
    <xf numFmtId="0" fontId="0" fillId="0" borderId="0" xfId="0" applyFill="1" applyBorder="1"/>
    <xf numFmtId="0" fontId="27" fillId="0" borderId="23" xfId="0" applyFont="1" applyBorder="1" applyAlignment="1">
      <alignment vertical="top" wrapText="1"/>
    </xf>
    <xf numFmtId="0" fontId="27" fillId="0" borderId="46" xfId="0" applyFont="1" applyBorder="1" applyAlignment="1">
      <alignment vertical="top" wrapText="1"/>
    </xf>
    <xf numFmtId="0" fontId="27" fillId="0" borderId="48" xfId="0" applyFont="1" applyBorder="1" applyAlignment="1">
      <alignment vertical="top" wrapText="1"/>
    </xf>
    <xf numFmtId="0" fontId="38" fillId="0" borderId="47" xfId="0" applyFont="1" applyBorder="1"/>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48" xfId="0" applyFont="1" applyBorder="1"/>
    <xf numFmtId="0" fontId="27" fillId="34" borderId="22" xfId="0" applyFont="1" applyFill="1" applyBorder="1" applyAlignment="1">
      <alignment wrapText="1"/>
    </xf>
    <xf numFmtId="0" fontId="27" fillId="34" borderId="50" xfId="0" applyNumberFormat="1" applyFont="1" applyFill="1" applyBorder="1" applyAlignment="1">
      <alignment horizontal="left" vertical="top"/>
    </xf>
    <xf numFmtId="0" fontId="40" fillId="0" borderId="5" xfId="0" applyNumberFormat="1" applyFont="1" applyFill="1" applyBorder="1" applyAlignment="1">
      <alignment horizontal="left" vertical="top"/>
    </xf>
    <xf numFmtId="0" fontId="31" fillId="0" borderId="0" xfId="0" applyNumberFormat="1" applyFont="1" applyFill="1" applyBorder="1" applyAlignment="1">
      <alignment vertical="top" wrapText="1"/>
    </xf>
    <xf numFmtId="0" fontId="40" fillId="0" borderId="0" xfId="0" applyNumberFormat="1" applyFont="1" applyFill="1" applyBorder="1" applyAlignment="1">
      <alignment horizontal="left" vertical="top"/>
    </xf>
    <xf numFmtId="0" fontId="40" fillId="0" borderId="6" xfId="0" applyNumberFormat="1" applyFont="1" applyFill="1" applyBorder="1" applyAlignment="1">
      <alignment horizontal="left" vertical="top"/>
    </xf>
    <xf numFmtId="0" fontId="0" fillId="0" borderId="0" xfId="0" applyNumberFormat="1" applyFill="1"/>
    <xf numFmtId="168" fontId="27" fillId="26" borderId="0" xfId="0" applyNumberFormat="1" applyFont="1" applyFill="1" applyBorder="1"/>
    <xf numFmtId="168" fontId="46" fillId="26" borderId="4" xfId="0" applyNumberFormat="1" applyFont="1" applyFill="1" applyBorder="1" applyProtection="1">
      <protection hidden="1"/>
    </xf>
    <xf numFmtId="168" fontId="27" fillId="26" borderId="6" xfId="0" applyNumberFormat="1" applyFont="1" applyFill="1" applyBorder="1" applyProtection="1">
      <protection hidden="1"/>
    </xf>
    <xf numFmtId="168" fontId="27" fillId="26" borderId="10" xfId="0" applyNumberFormat="1" applyFont="1" applyFill="1" applyBorder="1" applyProtection="1">
      <protection hidden="1"/>
    </xf>
    <xf numFmtId="168" fontId="47" fillId="26" borderId="6" xfId="0" applyNumberFormat="1" applyFont="1" applyFill="1" applyBorder="1" applyProtection="1">
      <protection hidden="1"/>
    </xf>
    <xf numFmtId="168" fontId="26" fillId="26" borderId="6" xfId="0" applyNumberFormat="1" applyFont="1" applyFill="1" applyBorder="1" applyProtection="1">
      <protection hidden="1"/>
    </xf>
    <xf numFmtId="168" fontId="48" fillId="26" borderId="6" xfId="0" applyNumberFormat="1" applyFont="1" applyFill="1" applyBorder="1" applyProtection="1">
      <protection hidden="1"/>
    </xf>
    <xf numFmtId="168" fontId="29" fillId="26" borderId="6" xfId="0" applyNumberFormat="1" applyFont="1" applyFill="1" applyBorder="1" applyProtection="1">
      <protection hidden="1"/>
    </xf>
    <xf numFmtId="168" fontId="27" fillId="26" borderId="52" xfId="0" applyNumberFormat="1" applyFont="1" applyFill="1" applyBorder="1" applyProtection="1">
      <protection hidden="1"/>
    </xf>
    <xf numFmtId="169" fontId="27" fillId="26" borderId="0" xfId="0" applyNumberFormat="1" applyFont="1" applyFill="1" applyBorder="1"/>
    <xf numFmtId="169" fontId="27" fillId="26" borderId="3" xfId="0" applyNumberFormat="1" applyFont="1" applyFill="1" applyBorder="1" applyAlignment="1" applyProtection="1">
      <alignment horizontal="center"/>
      <protection hidden="1"/>
    </xf>
    <xf numFmtId="169" fontId="27" fillId="26" borderId="0" xfId="0" applyNumberFormat="1" applyFont="1" applyFill="1" applyBorder="1" applyAlignment="1" applyProtection="1">
      <alignment horizontal="center"/>
      <protection hidden="1"/>
    </xf>
    <xf numFmtId="169" fontId="27" fillId="26" borderId="1" xfId="0" applyNumberFormat="1" applyFont="1" applyFill="1" applyBorder="1" applyAlignment="1" applyProtection="1">
      <alignment horizontal="center"/>
      <protection hidden="1"/>
    </xf>
    <xf numFmtId="169" fontId="26" fillId="26" borderId="0" xfId="0" applyNumberFormat="1" applyFont="1" applyFill="1" applyBorder="1" applyAlignment="1" applyProtection="1">
      <alignment horizontal="center"/>
      <protection hidden="1"/>
    </xf>
    <xf numFmtId="169" fontId="47" fillId="26" borderId="0" xfId="0" applyNumberFormat="1" applyFont="1" applyFill="1" applyBorder="1" applyAlignment="1" applyProtection="1">
      <alignment horizontal="center"/>
      <protection hidden="1"/>
    </xf>
    <xf numFmtId="169" fontId="29" fillId="26" borderId="0" xfId="0" applyNumberFormat="1" applyFont="1" applyFill="1" applyBorder="1" applyAlignment="1" applyProtection="1">
      <alignment horizontal="center"/>
      <protection hidden="1"/>
    </xf>
    <xf numFmtId="169" fontId="27" fillId="26" borderId="1" xfId="0" applyNumberFormat="1" applyFont="1" applyFill="1" applyBorder="1"/>
    <xf numFmtId="169" fontId="27" fillId="26" borderId="31" xfId="0" applyNumberFormat="1" applyFont="1" applyFill="1" applyBorder="1" applyAlignment="1" applyProtection="1">
      <alignment horizontal="center"/>
      <protection hidden="1"/>
    </xf>
    <xf numFmtId="169" fontId="48" fillId="26" borderId="0" xfId="0" applyNumberFormat="1" applyFont="1" applyFill="1" applyBorder="1" applyAlignment="1" applyProtection="1">
      <alignment horizontal="center"/>
      <protection hidden="1"/>
    </xf>
    <xf numFmtId="0" fontId="27" fillId="0" borderId="0" xfId="0" applyFont="1" applyFill="1" applyBorder="1" applyAlignment="1">
      <alignment vertical="top" wrapText="1"/>
    </xf>
    <xf numFmtId="0" fontId="40" fillId="0" borderId="45" xfId="0" applyFont="1" applyBorder="1" applyAlignment="1">
      <alignment horizontal="left" indent="1"/>
    </xf>
    <xf numFmtId="0" fontId="27" fillId="0" borderId="47" xfId="0" applyFont="1" applyBorder="1"/>
    <xf numFmtId="0" fontId="27" fillId="0" borderId="47" xfId="0" applyFont="1" applyBorder="1" applyAlignment="1">
      <alignment horizontal="left" indent="1"/>
    </xf>
    <xf numFmtId="0" fontId="52" fillId="0" borderId="0" xfId="0" applyFont="1" applyFill="1" applyBorder="1" applyAlignment="1">
      <alignment horizontal="left" vertical="center"/>
    </xf>
    <xf numFmtId="1" fontId="52" fillId="0" borderId="0" xfId="0" applyNumberFormat="1" applyFont="1" applyFill="1" applyBorder="1" applyAlignment="1" applyProtection="1">
      <alignment horizontal="left" vertical="center" wrapText="1"/>
      <protection locked="0"/>
    </xf>
    <xf numFmtId="169" fontId="52" fillId="0" borderId="0" xfId="0" applyNumberFormat="1" applyFont="1" applyFill="1" applyBorder="1" applyAlignment="1" applyProtection="1">
      <alignment horizontal="left" vertical="center" wrapText="1"/>
    </xf>
    <xf numFmtId="0" fontId="52" fillId="0" borderId="23" xfId="0" applyFont="1" applyFill="1" applyBorder="1" applyAlignment="1">
      <alignment horizontal="left" vertical="center"/>
    </xf>
    <xf numFmtId="0" fontId="52" fillId="0" borderId="46" xfId="0" applyFont="1" applyFill="1" applyBorder="1" applyAlignment="1">
      <alignment horizontal="left" vertical="center"/>
    </xf>
    <xf numFmtId="0" fontId="52" fillId="0" borderId="47" xfId="0" applyFont="1" applyFill="1" applyBorder="1" applyAlignment="1">
      <alignment horizontal="left" vertical="center"/>
    </xf>
    <xf numFmtId="0" fontId="52" fillId="0" borderId="48" xfId="0" applyFont="1" applyFill="1" applyBorder="1" applyAlignment="1">
      <alignment horizontal="left" vertical="center"/>
    </xf>
    <xf numFmtId="0" fontId="52" fillId="0" borderId="49" xfId="0" applyFont="1" applyFill="1" applyBorder="1" applyAlignment="1">
      <alignment horizontal="left" vertical="center"/>
    </xf>
    <xf numFmtId="0" fontId="52" fillId="0" borderId="22" xfId="0" applyFont="1" applyFill="1" applyBorder="1" applyAlignment="1">
      <alignment horizontal="left" vertical="center"/>
    </xf>
    <xf numFmtId="0" fontId="52" fillId="0" borderId="50" xfId="0" applyFont="1" applyFill="1" applyBorder="1" applyAlignment="1">
      <alignment horizontal="left" vertical="center"/>
    </xf>
    <xf numFmtId="0" fontId="38" fillId="0" borderId="55" xfId="0" applyNumberFormat="1" applyFont="1" applyBorder="1" applyAlignment="1">
      <alignment horizontal="left" vertical="top"/>
    </xf>
    <xf numFmtId="0" fontId="38" fillId="0" borderId="18" xfId="0" applyNumberFormat="1" applyFont="1" applyBorder="1" applyAlignment="1">
      <alignment horizontal="left" vertical="top"/>
    </xf>
    <xf numFmtId="0" fontId="38" fillId="0" borderId="19" xfId="0" applyNumberFormat="1" applyFont="1" applyBorder="1" applyAlignment="1">
      <alignment horizontal="left" vertical="top"/>
    </xf>
    <xf numFmtId="0" fontId="27" fillId="3" borderId="1" xfId="0" applyFont="1" applyFill="1" applyBorder="1" applyAlignment="1">
      <alignment vertical="top"/>
    </xf>
    <xf numFmtId="0" fontId="43" fillId="5" borderId="0" xfId="0" applyFont="1" applyFill="1" applyAlignment="1"/>
    <xf numFmtId="0" fontId="49" fillId="3" borderId="11" xfId="0" applyFont="1" applyFill="1" applyBorder="1" applyAlignment="1"/>
    <xf numFmtId="0" fontId="52" fillId="3" borderId="12" xfId="0" applyFont="1" applyFill="1" applyBorder="1" applyAlignment="1"/>
    <xf numFmtId="0" fontId="52" fillId="3" borderId="13" xfId="0" applyFont="1" applyFill="1" applyBorder="1" applyAlignment="1"/>
    <xf numFmtId="43" fontId="51" fillId="3" borderId="15" xfId="0" applyNumberFormat="1" applyFont="1" applyFill="1" applyBorder="1" applyAlignment="1"/>
    <xf numFmtId="43" fontId="51" fillId="3" borderId="16" xfId="0" applyNumberFormat="1" applyFont="1" applyFill="1" applyBorder="1" applyAlignment="1"/>
    <xf numFmtId="43" fontId="52" fillId="2" borderId="16" xfId="0" applyNumberFormat="1" applyFont="1" applyFill="1" applyBorder="1" applyAlignment="1" applyProtection="1">
      <protection locked="0"/>
    </xf>
    <xf numFmtId="43" fontId="52" fillId="3" borderId="16" xfId="0" applyNumberFormat="1" applyFont="1" applyFill="1" applyBorder="1" applyAlignment="1"/>
    <xf numFmtId="43" fontId="52" fillId="3" borderId="28" xfId="0" applyNumberFormat="1" applyFont="1" applyFill="1" applyBorder="1" applyAlignment="1"/>
    <xf numFmtId="43" fontId="52" fillId="11" borderId="17" xfId="0" applyNumberFormat="1" applyFont="1" applyFill="1" applyBorder="1" applyAlignment="1"/>
    <xf numFmtId="43" fontId="52" fillId="2" borderId="1" xfId="0" applyNumberFormat="1" applyFont="1" applyFill="1" applyBorder="1" applyAlignment="1" applyProtection="1">
      <protection locked="0"/>
    </xf>
    <xf numFmtId="43" fontId="52" fillId="3" borderId="1" xfId="0" applyNumberFormat="1" applyFont="1" applyFill="1" applyBorder="1" applyAlignment="1"/>
    <xf numFmtId="0" fontId="52" fillId="2" borderId="1" xfId="0" applyNumberFormat="1" applyFont="1" applyFill="1" applyBorder="1" applyAlignment="1" applyProtection="1">
      <alignment horizontal="center" vertical="center"/>
      <protection locked="0"/>
    </xf>
    <xf numFmtId="1" fontId="52" fillId="2" borderId="1" xfId="0" applyNumberFormat="1" applyFont="1" applyFill="1" applyBorder="1" applyAlignment="1" applyProtection="1">
      <alignment horizontal="center"/>
      <protection locked="0"/>
    </xf>
    <xf numFmtId="43" fontId="52" fillId="3" borderId="10" xfId="0" applyNumberFormat="1" applyFont="1" applyFill="1" applyBorder="1" applyAlignment="1"/>
    <xf numFmtId="10" fontId="52" fillId="2" borderId="1" xfId="0" applyNumberFormat="1" applyFont="1" applyFill="1" applyBorder="1" applyAlignment="1" applyProtection="1">
      <protection locked="0"/>
    </xf>
    <xf numFmtId="169" fontId="52" fillId="3" borderId="1" xfId="0" applyNumberFormat="1" applyFont="1" applyFill="1" applyBorder="1" applyAlignment="1" applyProtection="1">
      <alignment horizontal="center" vertical="center"/>
    </xf>
    <xf numFmtId="43" fontId="52" fillId="11" borderId="1" xfId="0" applyNumberFormat="1" applyFont="1" applyFill="1" applyBorder="1" applyAlignment="1"/>
    <xf numFmtId="43" fontId="51" fillId="3" borderId="1" xfId="0" applyNumberFormat="1" applyFont="1" applyFill="1" applyBorder="1" applyAlignment="1"/>
    <xf numFmtId="43" fontId="51" fillId="12" borderId="1" xfId="0" applyNumberFormat="1" applyFont="1" applyFill="1" applyBorder="1" applyAlignment="1"/>
    <xf numFmtId="43" fontId="52" fillId="12" borderId="1" xfId="0" applyNumberFormat="1" applyFont="1" applyFill="1" applyBorder="1" applyAlignment="1"/>
    <xf numFmtId="43" fontId="51" fillId="13" borderId="1" xfId="0" applyNumberFormat="1" applyFont="1" applyFill="1" applyBorder="1" applyAlignment="1"/>
    <xf numFmtId="43" fontId="52" fillId="13" borderId="10" xfId="0" applyNumberFormat="1" applyFont="1" applyFill="1" applyBorder="1" applyAlignment="1"/>
    <xf numFmtId="43" fontId="52" fillId="12" borderId="0" xfId="0" applyNumberFormat="1" applyFont="1" applyFill="1" applyBorder="1" applyAlignment="1"/>
    <xf numFmtId="43" fontId="52" fillId="12" borderId="20" xfId="0" applyNumberFormat="1" applyFont="1" applyFill="1" applyBorder="1" applyAlignment="1"/>
    <xf numFmtId="43" fontId="52" fillId="13" borderId="1" xfId="0" applyNumberFormat="1" applyFont="1" applyFill="1" applyBorder="1" applyAlignment="1"/>
    <xf numFmtId="43" fontId="51" fillId="4" borderId="17" xfId="0" applyNumberFormat="1" applyFont="1" applyFill="1" applyBorder="1" applyAlignment="1"/>
    <xf numFmtId="43" fontId="51" fillId="4" borderId="1" xfId="0" applyNumberFormat="1" applyFont="1" applyFill="1" applyBorder="1" applyAlignment="1"/>
    <xf numFmtId="43" fontId="52" fillId="7" borderId="1" xfId="0" applyNumberFormat="1" applyFont="1" applyFill="1" applyBorder="1" applyAlignment="1"/>
    <xf numFmtId="43" fontId="52" fillId="4" borderId="1" xfId="0" applyNumberFormat="1" applyFont="1" applyFill="1" applyBorder="1" applyAlignment="1"/>
    <xf numFmtId="43" fontId="52" fillId="4" borderId="10" xfId="0" applyNumberFormat="1" applyFont="1" applyFill="1" applyBorder="1" applyAlignment="1"/>
    <xf numFmtId="0" fontId="27" fillId="3" borderId="1" xfId="0" applyFont="1" applyFill="1" applyBorder="1" applyAlignment="1">
      <alignment horizontal="center" vertical="top"/>
    </xf>
    <xf numFmtId="0" fontId="57" fillId="3" borderId="1" xfId="0" applyFont="1" applyFill="1" applyBorder="1" applyAlignment="1"/>
    <xf numFmtId="172" fontId="57" fillId="3" borderId="1" xfId="0" applyNumberFormat="1" applyFont="1" applyFill="1" applyBorder="1" applyAlignment="1"/>
    <xf numFmtId="0" fontId="52" fillId="3" borderId="1" xfId="0" applyFont="1" applyFill="1" applyBorder="1" applyAlignment="1"/>
    <xf numFmtId="0" fontId="52" fillId="3" borderId="6" xfId="0" applyFont="1" applyFill="1" applyBorder="1" applyAlignment="1"/>
    <xf numFmtId="2" fontId="52" fillId="3" borderId="29" xfId="0" applyNumberFormat="1" applyFont="1" applyFill="1" applyBorder="1" applyAlignment="1"/>
    <xf numFmtId="0" fontId="27" fillId="3" borderId="1" xfId="10" applyFont="1" applyFill="1" applyBorder="1" applyAlignment="1">
      <alignment horizontal="center"/>
    </xf>
    <xf numFmtId="0" fontId="27" fillId="3" borderId="1" xfId="10" applyFont="1" applyFill="1" applyBorder="1" applyAlignment="1"/>
    <xf numFmtId="0" fontId="56" fillId="3" borderId="27" xfId="0" applyFont="1" applyFill="1" applyBorder="1" applyAlignment="1"/>
    <xf numFmtId="173" fontId="56" fillId="3" borderId="27" xfId="0" applyNumberFormat="1" applyFont="1" applyFill="1" applyBorder="1" applyAlignment="1"/>
    <xf numFmtId="2" fontId="52" fillId="3" borderId="27" xfId="0" applyNumberFormat="1" applyFont="1" applyFill="1" applyBorder="1" applyAlignment="1"/>
    <xf numFmtId="2" fontId="56" fillId="3" borderId="27" xfId="0" applyNumberFormat="1" applyFont="1" applyFill="1" applyBorder="1" applyAlignment="1"/>
    <xf numFmtId="173" fontId="56" fillId="3" borderId="30" xfId="0" applyNumberFormat="1" applyFont="1" applyFill="1" applyBorder="1" applyAlignment="1"/>
    <xf numFmtId="0" fontId="28" fillId="3" borderId="12" xfId="0" applyFont="1" applyFill="1" applyBorder="1" applyAlignment="1"/>
    <xf numFmtId="169" fontId="51" fillId="3" borderId="15" xfId="0" applyNumberFormat="1" applyFont="1" applyFill="1" applyBorder="1" applyAlignment="1"/>
    <xf numFmtId="0" fontId="52" fillId="3" borderId="16" xfId="0" applyFont="1" applyFill="1" applyBorder="1" applyAlignment="1"/>
    <xf numFmtId="169" fontId="51" fillId="3" borderId="16" xfId="0" applyNumberFormat="1" applyFont="1" applyFill="1" applyBorder="1" applyAlignment="1"/>
    <xf numFmtId="0" fontId="52" fillId="2" borderId="16" xfId="0" applyFont="1" applyFill="1" applyBorder="1" applyAlignment="1" applyProtection="1">
      <protection locked="0"/>
    </xf>
    <xf numFmtId="173" fontId="52" fillId="3" borderId="16" xfId="0" applyNumberFormat="1" applyFont="1" applyFill="1" applyBorder="1" applyAlignment="1"/>
    <xf numFmtId="169" fontId="52" fillId="6" borderId="16" xfId="0" applyNumberFormat="1" applyFont="1" applyFill="1" applyBorder="1" applyAlignment="1">
      <alignment horizontal="left"/>
    </xf>
    <xf numFmtId="169" fontId="52" fillId="3" borderId="16" xfId="0" applyNumberFormat="1" applyFont="1" applyFill="1" applyBorder="1" applyAlignment="1"/>
    <xf numFmtId="169" fontId="52" fillId="6" borderId="28" xfId="0" applyNumberFormat="1" applyFont="1" applyFill="1" applyBorder="1" applyAlignment="1">
      <alignment horizontal="left"/>
    </xf>
    <xf numFmtId="0" fontId="52" fillId="3" borderId="17" xfId="0" applyFont="1" applyFill="1" applyBorder="1" applyAlignment="1"/>
    <xf numFmtId="169" fontId="52" fillId="3" borderId="1" xfId="0" applyNumberFormat="1" applyFont="1" applyFill="1" applyBorder="1" applyAlignment="1"/>
    <xf numFmtId="16" fontId="52" fillId="3" borderId="1" xfId="0" applyNumberFormat="1" applyFont="1" applyFill="1" applyBorder="1" applyAlignment="1"/>
    <xf numFmtId="16" fontId="52" fillId="3" borderId="10" xfId="0" applyNumberFormat="1" applyFont="1" applyFill="1" applyBorder="1" applyAlignment="1"/>
    <xf numFmtId="0" fontId="52" fillId="2" borderId="1" xfId="0" applyFont="1" applyFill="1" applyBorder="1" applyAlignment="1" applyProtection="1">
      <protection locked="0"/>
    </xf>
    <xf numFmtId="40" fontId="52" fillId="3" borderId="17" xfId="0" applyNumberFormat="1" applyFont="1" applyFill="1" applyBorder="1" applyAlignment="1"/>
    <xf numFmtId="173" fontId="52" fillId="3" borderId="1" xfId="0" applyNumberFormat="1" applyFont="1" applyFill="1" applyBorder="1" applyAlignment="1"/>
    <xf numFmtId="169" fontId="52" fillId="3" borderId="10" xfId="0" applyNumberFormat="1" applyFont="1" applyFill="1" applyBorder="1" applyAlignment="1"/>
    <xf numFmtId="169" fontId="52" fillId="3" borderId="17" xfId="0" applyNumberFormat="1" applyFont="1" applyFill="1" applyBorder="1" applyAlignment="1"/>
    <xf numFmtId="169" fontId="58" fillId="3" borderId="10" xfId="0" applyNumberFormat="1" applyFont="1" applyFill="1" applyBorder="1" applyAlignment="1"/>
    <xf numFmtId="40" fontId="52" fillId="3" borderId="58" xfId="0" applyNumberFormat="1" applyFont="1" applyFill="1" applyBorder="1" applyAlignment="1"/>
    <xf numFmtId="40" fontId="49" fillId="3" borderId="58" xfId="0" applyNumberFormat="1" applyFont="1" applyFill="1" applyBorder="1" applyAlignment="1"/>
    <xf numFmtId="0" fontId="52" fillId="3" borderId="56" xfId="0" applyFont="1" applyFill="1" applyBorder="1" applyAlignment="1"/>
    <xf numFmtId="169" fontId="52" fillId="3" borderId="56" xfId="0" applyNumberFormat="1" applyFont="1" applyFill="1" applyBorder="1" applyAlignment="1"/>
    <xf numFmtId="173" fontId="58" fillId="3" borderId="56" xfId="0" applyNumberFormat="1" applyFont="1" applyFill="1" applyBorder="1" applyAlignment="1"/>
    <xf numFmtId="173" fontId="52" fillId="3" borderId="56" xfId="0" applyNumberFormat="1" applyFont="1" applyFill="1" applyBorder="1" applyAlignment="1"/>
    <xf numFmtId="169" fontId="52" fillId="3" borderId="57" xfId="0" applyNumberFormat="1" applyFont="1" applyFill="1" applyBorder="1" applyAlignment="1"/>
    <xf numFmtId="0" fontId="27" fillId="3" borderId="1" xfId="0" applyFont="1" applyFill="1" applyBorder="1" applyAlignment="1">
      <alignment horizontal="left"/>
    </xf>
    <xf numFmtId="0" fontId="27" fillId="3" borderId="1" xfId="0" applyFont="1" applyFill="1" applyBorder="1" applyAlignment="1"/>
    <xf numFmtId="0" fontId="43" fillId="3" borderId="1" xfId="0" applyFont="1" applyFill="1" applyBorder="1" applyAlignment="1"/>
    <xf numFmtId="169" fontId="27" fillId="3" borderId="1" xfId="10" applyNumberFormat="1" applyFont="1" applyFill="1" applyBorder="1" applyAlignment="1">
      <alignment horizontal="center"/>
    </xf>
    <xf numFmtId="169" fontId="27" fillId="3" borderId="1" xfId="0" applyNumberFormat="1" applyFont="1" applyFill="1" applyBorder="1" applyAlignment="1">
      <alignment vertical="top"/>
    </xf>
    <xf numFmtId="0" fontId="22" fillId="3" borderId="1" xfId="10" applyFont="1" applyFill="1" applyBorder="1" applyAlignment="1">
      <alignment horizontal="center"/>
    </xf>
    <xf numFmtId="0" fontId="22" fillId="3" borderId="1" xfId="10" applyFont="1" applyFill="1" applyBorder="1" applyAlignment="1"/>
    <xf numFmtId="0" fontId="43" fillId="10" borderId="0" xfId="0" applyFont="1" applyFill="1" applyAlignment="1"/>
    <xf numFmtId="9" fontId="52" fillId="2" borderId="1" xfId="1" applyFont="1" applyFill="1" applyBorder="1" applyAlignment="1" applyProtection="1">
      <protection locked="0"/>
    </xf>
    <xf numFmtId="174" fontId="52" fillId="3" borderId="1" xfId="0" applyNumberFormat="1" applyFont="1" applyFill="1" applyBorder="1" applyAlignment="1"/>
    <xf numFmtId="10" fontId="52" fillId="3" borderId="1" xfId="0" applyNumberFormat="1" applyFont="1" applyFill="1" applyBorder="1" applyAlignment="1"/>
    <xf numFmtId="173" fontId="52" fillId="3" borderId="1" xfId="1" applyNumberFormat="1" applyFont="1" applyFill="1" applyBorder="1" applyAlignment="1"/>
    <xf numFmtId="9" fontId="52" fillId="3" borderId="1" xfId="1" applyFont="1" applyFill="1" applyBorder="1" applyAlignment="1"/>
    <xf numFmtId="175" fontId="52" fillId="3" borderId="1" xfId="1" applyNumberFormat="1" applyFont="1" applyFill="1" applyBorder="1" applyAlignment="1"/>
    <xf numFmtId="10" fontId="52" fillId="3" borderId="1" xfId="1" applyNumberFormat="1" applyFont="1" applyFill="1" applyBorder="1" applyAlignment="1"/>
    <xf numFmtId="175" fontId="52" fillId="3" borderId="1" xfId="0" applyNumberFormat="1" applyFont="1" applyFill="1" applyBorder="1" applyAlignment="1"/>
    <xf numFmtId="173" fontId="28" fillId="3" borderId="1" xfId="0" applyNumberFormat="1" applyFont="1" applyFill="1" applyBorder="1" applyAlignment="1"/>
    <xf numFmtId="0" fontId="52" fillId="3" borderId="10" xfId="0" applyFont="1" applyFill="1" applyBorder="1" applyAlignment="1"/>
    <xf numFmtId="2" fontId="52" fillId="3" borderId="1" xfId="0" applyNumberFormat="1" applyFont="1" applyFill="1" applyBorder="1" applyAlignment="1"/>
    <xf numFmtId="0" fontId="59" fillId="3" borderId="1" xfId="0" applyFont="1" applyFill="1" applyBorder="1" applyAlignment="1"/>
    <xf numFmtId="0" fontId="59" fillId="3" borderId="0" xfId="0" applyFont="1" applyFill="1" applyBorder="1" applyAlignment="1"/>
    <xf numFmtId="41" fontId="52" fillId="2" borderId="1" xfId="0" applyNumberFormat="1" applyFont="1" applyFill="1" applyBorder="1" applyAlignment="1" applyProtection="1">
      <protection locked="0"/>
    </xf>
    <xf numFmtId="0" fontId="28" fillId="3" borderId="1" xfId="0" applyFont="1" applyFill="1" applyBorder="1" applyAlignment="1"/>
    <xf numFmtId="177" fontId="52" fillId="3" borderId="1" xfId="0" applyNumberFormat="1" applyFont="1" applyFill="1" applyBorder="1" applyAlignment="1"/>
    <xf numFmtId="169" fontId="28" fillId="3" borderId="1" xfId="0" applyNumberFormat="1" applyFont="1" applyFill="1" applyBorder="1" applyAlignment="1"/>
    <xf numFmtId="169" fontId="49" fillId="3" borderId="14" xfId="0" applyNumberFormat="1" applyFont="1" applyFill="1" applyBorder="1" applyAlignment="1"/>
    <xf numFmtId="169" fontId="49" fillId="3" borderId="21" xfId="0" applyNumberFormat="1" applyFont="1" applyFill="1" applyBorder="1" applyAlignment="1"/>
    <xf numFmtId="0" fontId="28" fillId="3" borderId="21" xfId="0" applyFont="1" applyFill="1" applyBorder="1" applyAlignment="1"/>
    <xf numFmtId="0" fontId="52" fillId="3" borderId="21" xfId="0" applyFont="1" applyFill="1" applyBorder="1" applyAlignment="1"/>
    <xf numFmtId="0" fontId="52" fillId="3" borderId="24" xfId="0" applyFont="1" applyFill="1" applyBorder="1" applyAlignment="1"/>
    <xf numFmtId="169" fontId="52" fillId="14" borderId="25" xfId="0" applyNumberFormat="1" applyFont="1" applyFill="1" applyBorder="1" applyAlignment="1"/>
    <xf numFmtId="43" fontId="52" fillId="14" borderId="20" xfId="0" applyNumberFormat="1" applyFont="1" applyFill="1" applyBorder="1" applyAlignment="1"/>
    <xf numFmtId="43" fontId="52" fillId="14" borderId="26" xfId="0" applyNumberFormat="1" applyFont="1" applyFill="1" applyBorder="1" applyAlignment="1"/>
    <xf numFmtId="169" fontId="52" fillId="14" borderId="17" xfId="0" applyNumberFormat="1" applyFont="1" applyFill="1" applyBorder="1" applyAlignment="1"/>
    <xf numFmtId="43" fontId="52" fillId="14" borderId="1" xfId="0" applyNumberFormat="1" applyFont="1" applyFill="1" applyBorder="1" applyAlignment="1"/>
    <xf numFmtId="43" fontId="52" fillId="14" borderId="10" xfId="0" applyNumberFormat="1" applyFont="1" applyFill="1" applyBorder="1" applyAlignment="1"/>
    <xf numFmtId="43" fontId="28" fillId="14" borderId="1" xfId="0" applyNumberFormat="1" applyFont="1" applyFill="1" applyBorder="1" applyAlignment="1"/>
    <xf numFmtId="169" fontId="51" fillId="14" borderId="17" xfId="0" applyNumberFormat="1" applyFont="1" applyFill="1" applyBorder="1" applyAlignment="1"/>
    <xf numFmtId="43" fontId="51" fillId="14" borderId="1" xfId="0" applyNumberFormat="1" applyFont="1" applyFill="1" applyBorder="1" applyAlignment="1"/>
    <xf numFmtId="43" fontId="49" fillId="14" borderId="1" xfId="0" applyNumberFormat="1" applyFont="1" applyFill="1" applyBorder="1" applyAlignment="1"/>
    <xf numFmtId="43" fontId="51" fillId="14" borderId="10" xfId="0" applyNumberFormat="1" applyFont="1" applyFill="1" applyBorder="1" applyAlignment="1"/>
    <xf numFmtId="0" fontId="60" fillId="3" borderId="7" xfId="0" applyFont="1" applyFill="1" applyBorder="1" applyAlignment="1"/>
    <xf numFmtId="0" fontId="52" fillId="3" borderId="8" xfId="0" applyFont="1" applyFill="1" applyBorder="1" applyAlignment="1"/>
    <xf numFmtId="0" fontId="52" fillId="3" borderId="9" xfId="0" applyFont="1" applyFill="1" applyBorder="1" applyAlignment="1"/>
    <xf numFmtId="169" fontId="51" fillId="3" borderId="25" xfId="0" applyNumberFormat="1" applyFont="1" applyFill="1" applyBorder="1" applyAlignment="1"/>
    <xf numFmtId="169" fontId="51" fillId="3" borderId="20" xfId="0" applyNumberFormat="1" applyFont="1" applyFill="1" applyBorder="1" applyAlignment="1"/>
    <xf numFmtId="0" fontId="52" fillId="3" borderId="20" xfId="0" applyFont="1" applyFill="1" applyBorder="1" applyAlignment="1"/>
    <xf numFmtId="0" fontId="52" fillId="3" borderId="26" xfId="0" applyFont="1" applyFill="1" applyBorder="1" applyAlignment="1"/>
    <xf numFmtId="169" fontId="52" fillId="2" borderId="1" xfId="0" applyNumberFormat="1" applyFont="1" applyFill="1" applyBorder="1" applyAlignment="1" applyProtection="1">
      <protection locked="0"/>
    </xf>
    <xf numFmtId="43" fontId="52" fillId="15" borderId="17" xfId="0" applyNumberFormat="1" applyFont="1" applyFill="1" applyBorder="1" applyAlignment="1"/>
    <xf numFmtId="43" fontId="49" fillId="15" borderId="1" xfId="0" applyNumberFormat="1" applyFont="1" applyFill="1" applyBorder="1" applyAlignment="1"/>
    <xf numFmtId="43" fontId="52" fillId="15" borderId="1" xfId="0" applyNumberFormat="1" applyFont="1" applyFill="1" applyBorder="1" applyAlignment="1"/>
    <xf numFmtId="43" fontId="52" fillId="8" borderId="1" xfId="0" applyNumberFormat="1" applyFont="1" applyFill="1" applyBorder="1" applyAlignment="1"/>
    <xf numFmtId="43" fontId="49" fillId="8" borderId="1" xfId="0" applyNumberFormat="1" applyFont="1" applyFill="1" applyBorder="1" applyAlignment="1"/>
    <xf numFmtId="43" fontId="49" fillId="8" borderId="10" xfId="0" applyNumberFormat="1" applyFont="1" applyFill="1" applyBorder="1" applyAlignment="1"/>
    <xf numFmtId="43" fontId="52" fillId="8" borderId="10" xfId="0" applyNumberFormat="1" applyFont="1" applyFill="1" applyBorder="1" applyAlignment="1"/>
    <xf numFmtId="43" fontId="51" fillId="15" borderId="17" xfId="0" applyNumberFormat="1" applyFont="1" applyFill="1" applyBorder="1" applyAlignment="1"/>
    <xf numFmtId="43" fontId="51" fillId="15" borderId="1" xfId="0" applyNumberFormat="1" applyFont="1" applyFill="1" applyBorder="1" applyAlignment="1"/>
    <xf numFmtId="43" fontId="51" fillId="8" borderId="1" xfId="0" applyNumberFormat="1" applyFont="1" applyFill="1" applyBorder="1" applyAlignment="1"/>
    <xf numFmtId="0" fontId="51" fillId="3" borderId="56" xfId="0" applyFont="1" applyFill="1" applyBorder="1" applyAlignment="1"/>
    <xf numFmtId="0" fontId="52" fillId="3" borderId="1" xfId="10" applyFont="1" applyFill="1" applyBorder="1" applyAlignment="1">
      <alignment horizontal="center"/>
    </xf>
    <xf numFmtId="180" fontId="52" fillId="3" borderId="1" xfId="0" applyNumberFormat="1" applyFont="1" applyFill="1" applyBorder="1" applyAlignment="1">
      <alignment horizontal="left" vertical="top"/>
    </xf>
    <xf numFmtId="0" fontId="52" fillId="3" borderId="1" xfId="0" applyFont="1" applyFill="1" applyBorder="1" applyAlignment="1">
      <alignment horizontal="center" vertical="top"/>
    </xf>
    <xf numFmtId="0" fontId="52" fillId="3" borderId="1" xfId="0" applyFont="1" applyFill="1" applyBorder="1" applyAlignment="1">
      <alignment vertical="top"/>
    </xf>
    <xf numFmtId="0" fontId="52" fillId="3" borderId="1" xfId="10" applyFont="1" applyFill="1" applyBorder="1" applyAlignment="1"/>
    <xf numFmtId="0" fontId="49" fillId="3" borderId="59" xfId="0" applyFont="1" applyFill="1" applyBorder="1" applyAlignment="1"/>
    <xf numFmtId="0" fontId="52" fillId="3" borderId="60" xfId="0" applyFont="1" applyFill="1" applyBorder="1" applyAlignment="1"/>
    <xf numFmtId="0" fontId="52" fillId="3" borderId="61" xfId="0" applyFont="1" applyFill="1" applyBorder="1" applyAlignment="1"/>
    <xf numFmtId="176" fontId="52" fillId="3" borderId="1" xfId="1" applyNumberFormat="1" applyFont="1" applyFill="1" applyBorder="1" applyAlignment="1"/>
    <xf numFmtId="177" fontId="28" fillId="3" borderId="1" xfId="0" applyNumberFormat="1" applyFont="1" applyFill="1" applyBorder="1" applyAlignment="1"/>
    <xf numFmtId="0" fontId="27" fillId="0" borderId="42" xfId="0" applyFont="1" applyFill="1" applyBorder="1" applyAlignment="1">
      <alignment horizontal="center" vertical="top" wrapText="1"/>
    </xf>
    <xf numFmtId="0" fontId="27" fillId="2" borderId="1" xfId="0" applyFont="1" applyFill="1" applyBorder="1" applyAlignment="1">
      <alignment horizontal="center" vertical="top" wrapText="1"/>
    </xf>
    <xf numFmtId="0" fontId="27" fillId="0" borderId="0" xfId="0" applyFont="1" applyFill="1" applyAlignment="1">
      <alignment vertical="top" wrapText="1"/>
    </xf>
    <xf numFmtId="0" fontId="27" fillId="0" borderId="1" xfId="0" applyFont="1" applyFill="1" applyBorder="1" applyAlignment="1">
      <alignment horizontal="center" vertical="top" wrapText="1"/>
    </xf>
    <xf numFmtId="0" fontId="36" fillId="2" borderId="1" xfId="0" applyFont="1" applyFill="1" applyBorder="1" applyAlignment="1">
      <alignment horizontal="center" vertical="top"/>
    </xf>
    <xf numFmtId="0" fontId="43" fillId="0" borderId="0" xfId="0" applyFont="1" applyFill="1"/>
    <xf numFmtId="10" fontId="43" fillId="0" borderId="1" xfId="0" applyNumberFormat="1" applyFont="1" applyFill="1" applyBorder="1"/>
    <xf numFmtId="0" fontId="43" fillId="0" borderId="1" xfId="0" applyFont="1" applyFill="1" applyBorder="1"/>
    <xf numFmtId="0" fontId="43" fillId="0" borderId="1" xfId="0" applyFont="1" applyFill="1" applyBorder="1" applyAlignment="1">
      <alignment horizontal="center"/>
    </xf>
    <xf numFmtId="0" fontId="43" fillId="0" borderId="0" xfId="0" applyFont="1" applyFill="1" applyAlignment="1">
      <alignment horizontal="center"/>
    </xf>
    <xf numFmtId="0" fontId="26" fillId="38" borderId="0" xfId="0" applyFont="1" applyFill="1" applyAlignment="1">
      <alignment horizontal="left" vertical="center" wrapText="1" shrinkToFit="1"/>
    </xf>
    <xf numFmtId="0" fontId="26" fillId="38" borderId="0" xfId="0" applyFont="1" applyFill="1" applyAlignment="1">
      <alignment horizontal="left" vertical="center" wrapText="1"/>
    </xf>
    <xf numFmtId="167" fontId="70" fillId="38" borderId="0" xfId="0" applyNumberFormat="1" applyFont="1" applyFill="1" applyBorder="1" applyAlignment="1">
      <alignment horizontal="left" vertical="center"/>
    </xf>
    <xf numFmtId="0" fontId="43" fillId="0" borderId="0" xfId="0" applyFont="1" applyAlignment="1">
      <alignment horizontal="left" vertical="center"/>
    </xf>
    <xf numFmtId="0" fontId="43" fillId="28" borderId="0" xfId="0" applyFont="1" applyFill="1" applyBorder="1" applyAlignment="1">
      <alignment horizontal="left" vertical="center"/>
    </xf>
    <xf numFmtId="0" fontId="70" fillId="28" borderId="0" xfId="0" applyFont="1" applyFill="1" applyBorder="1" applyAlignment="1">
      <alignment horizontal="left" vertical="center" wrapText="1" shrinkToFit="1"/>
    </xf>
    <xf numFmtId="0" fontId="43" fillId="2" borderId="1" xfId="0" applyFont="1" applyFill="1" applyBorder="1"/>
    <xf numFmtId="182" fontId="43" fillId="0" borderId="0" xfId="0" applyNumberFormat="1" applyFont="1" applyAlignment="1">
      <alignment horizontal="left" vertical="center"/>
    </xf>
    <xf numFmtId="167" fontId="43" fillId="0" borderId="0" xfId="0" applyNumberFormat="1" applyFont="1" applyAlignment="1">
      <alignment horizontal="left" vertical="center"/>
    </xf>
    <xf numFmtId="0" fontId="43" fillId="0" borderId="0" xfId="0" applyFont="1" applyAlignment="1">
      <alignment horizontal="left" vertical="center" wrapText="1"/>
    </xf>
    <xf numFmtId="0" fontId="27" fillId="37" borderId="0" xfId="0" applyFont="1" applyFill="1" applyBorder="1" applyAlignment="1">
      <alignment horizontal="left" vertical="center" wrapText="1"/>
    </xf>
    <xf numFmtId="182" fontId="26" fillId="38" borderId="0" xfId="0" applyNumberFormat="1" applyFont="1" applyFill="1" applyBorder="1" applyAlignment="1">
      <alignment horizontal="left" vertical="top"/>
    </xf>
    <xf numFmtId="0" fontId="26" fillId="38" borderId="0" xfId="0" applyFont="1" applyFill="1" applyBorder="1" applyAlignment="1">
      <alignment horizontal="left" vertical="top" shrinkToFit="1"/>
    </xf>
    <xf numFmtId="167" fontId="69" fillId="38" borderId="0" xfId="0" applyNumberFormat="1" applyFont="1" applyFill="1" applyBorder="1" applyAlignment="1">
      <alignment horizontal="left" vertical="top"/>
    </xf>
    <xf numFmtId="0" fontId="26" fillId="38" borderId="0" xfId="0" applyFont="1" applyFill="1" applyBorder="1" applyAlignment="1">
      <alignment horizontal="left" vertical="top" wrapText="1" shrinkToFit="1"/>
    </xf>
    <xf numFmtId="0" fontId="26" fillId="38" borderId="0" xfId="0" applyFont="1" applyFill="1" applyBorder="1" applyAlignment="1">
      <alignment horizontal="left" vertical="top" wrapText="1"/>
    </xf>
    <xf numFmtId="0" fontId="43" fillId="0" borderId="0" xfId="0" applyFont="1" applyBorder="1" applyAlignment="1">
      <alignment horizontal="left" vertical="top"/>
    </xf>
    <xf numFmtId="182" fontId="71" fillId="38" borderId="1" xfId="0" applyNumberFormat="1" applyFont="1" applyFill="1" applyBorder="1" applyAlignment="1">
      <alignment horizontal="left" vertical="center"/>
    </xf>
    <xf numFmtId="169" fontId="71" fillId="28" borderId="1" xfId="0" applyNumberFormat="1" applyFont="1" applyFill="1" applyBorder="1" applyAlignment="1">
      <alignment horizontal="left" vertical="center" wrapText="1"/>
    </xf>
    <xf numFmtId="0" fontId="52" fillId="30" borderId="1" xfId="0" applyFont="1" applyFill="1" applyBorder="1" applyAlignment="1">
      <alignment horizontal="left" vertical="center"/>
    </xf>
    <xf numFmtId="0" fontId="51" fillId="28" borderId="23" xfId="0" applyNumberFormat="1" applyFont="1" applyFill="1" applyBorder="1" applyAlignment="1">
      <alignment horizontal="left" vertical="top"/>
    </xf>
    <xf numFmtId="0" fontId="51" fillId="28" borderId="46" xfId="0" applyNumberFormat="1" applyFont="1" applyFill="1" applyBorder="1" applyAlignment="1">
      <alignment horizontal="left" vertical="top"/>
    </xf>
    <xf numFmtId="0" fontId="51" fillId="28" borderId="0" xfId="0" applyNumberFormat="1" applyFont="1" applyFill="1" applyBorder="1" applyAlignment="1">
      <alignment horizontal="left" vertical="top"/>
    </xf>
    <xf numFmtId="0" fontId="51" fillId="28" borderId="48" xfId="0" applyNumberFormat="1" applyFont="1" applyFill="1" applyBorder="1" applyAlignment="1">
      <alignment horizontal="left" vertical="top"/>
    </xf>
    <xf numFmtId="0" fontId="51" fillId="28" borderId="47" xfId="0" applyNumberFormat="1" applyFont="1" applyFill="1" applyBorder="1" applyAlignment="1">
      <alignment horizontal="left" vertical="top"/>
    </xf>
    <xf numFmtId="0" fontId="51" fillId="28" borderId="49" xfId="0" applyNumberFormat="1" applyFont="1" applyFill="1" applyBorder="1" applyAlignment="1">
      <alignment horizontal="left" vertical="top"/>
    </xf>
    <xf numFmtId="0" fontId="51" fillId="28" borderId="22" xfId="0" applyNumberFormat="1" applyFont="1" applyFill="1" applyBorder="1" applyAlignment="1">
      <alignment horizontal="left" vertical="top"/>
    </xf>
    <xf numFmtId="0" fontId="51" fillId="28" borderId="50" xfId="0" applyNumberFormat="1" applyFont="1" applyFill="1" applyBorder="1" applyAlignment="1">
      <alignment horizontal="left" vertical="top"/>
    </xf>
    <xf numFmtId="0" fontId="52" fillId="28" borderId="0" xfId="0" applyNumberFormat="1" applyFont="1" applyFill="1"/>
    <xf numFmtId="0" fontId="51" fillId="41" borderId="31" xfId="0" applyNumberFormat="1" applyFont="1" applyFill="1" applyBorder="1" applyAlignment="1">
      <alignment horizontal="left" vertical="top"/>
    </xf>
    <xf numFmtId="0" fontId="52" fillId="0" borderId="0" xfId="0" applyFont="1" applyFill="1" applyAlignment="1">
      <alignment horizontal="left" vertical="top"/>
    </xf>
    <xf numFmtId="0" fontId="52" fillId="0" borderId="45" xfId="0" applyFont="1" applyFill="1" applyBorder="1" applyAlignment="1">
      <alignment horizontal="left" vertical="top"/>
    </xf>
    <xf numFmtId="0" fontId="52" fillId="0" borderId="23" xfId="0" applyFont="1" applyFill="1" applyBorder="1" applyAlignment="1">
      <alignment horizontal="left" vertical="top"/>
    </xf>
    <xf numFmtId="0" fontId="52" fillId="0" borderId="46" xfId="0" applyFont="1" applyFill="1" applyBorder="1" applyAlignment="1">
      <alignment horizontal="left" vertical="top"/>
    </xf>
    <xf numFmtId="0" fontId="52" fillId="0" borderId="47" xfId="0" applyFont="1" applyFill="1" applyBorder="1" applyAlignment="1">
      <alignment horizontal="left" vertical="top"/>
    </xf>
    <xf numFmtId="0" fontId="52" fillId="0" borderId="0" xfId="0" applyFont="1" applyFill="1" applyBorder="1" applyAlignment="1">
      <alignment horizontal="left" vertical="top" wrapText="1"/>
    </xf>
    <xf numFmtId="0" fontId="52" fillId="0" borderId="0" xfId="0" applyFont="1" applyFill="1" applyBorder="1" applyAlignment="1">
      <alignment horizontal="left" vertical="top"/>
    </xf>
    <xf numFmtId="0" fontId="52" fillId="0" borderId="48" xfId="0" applyFont="1" applyFill="1" applyBorder="1" applyAlignment="1">
      <alignment horizontal="left" vertical="top"/>
    </xf>
    <xf numFmtId="0" fontId="52" fillId="0" borderId="47" xfId="10" applyFont="1" applyFill="1" applyBorder="1" applyAlignment="1">
      <alignment horizontal="left" vertical="top" wrapText="1"/>
    </xf>
    <xf numFmtId="0" fontId="52" fillId="0" borderId="0" xfId="10" applyFont="1" applyFill="1" applyBorder="1" applyAlignment="1">
      <alignment horizontal="left" vertical="top" wrapText="1"/>
    </xf>
    <xf numFmtId="0" fontId="52" fillId="0" borderId="47" xfId="0" applyFont="1" applyFill="1" applyBorder="1" applyAlignment="1">
      <alignment horizontal="left" vertical="top" wrapText="1"/>
    </xf>
    <xf numFmtId="10" fontId="52" fillId="30" borderId="1" xfId="0" applyNumberFormat="1" applyFont="1" applyFill="1" applyBorder="1" applyAlignment="1">
      <alignment horizontal="left" vertical="top"/>
    </xf>
    <xf numFmtId="0" fontId="52" fillId="30" borderId="1" xfId="0" applyFont="1" applyFill="1" applyBorder="1" applyAlignment="1">
      <alignment horizontal="left" vertical="top"/>
    </xf>
    <xf numFmtId="0" fontId="52" fillId="8" borderId="47" xfId="0" applyNumberFormat="1" applyFont="1" applyFill="1" applyBorder="1" applyAlignment="1">
      <alignment horizontal="left" vertical="top"/>
    </xf>
    <xf numFmtId="0" fontId="52" fillId="8" borderId="0" xfId="0" applyNumberFormat="1" applyFont="1" applyFill="1" applyBorder="1" applyAlignment="1">
      <alignment horizontal="left" vertical="top" wrapText="1"/>
    </xf>
    <xf numFmtId="0" fontId="52" fillId="8" borderId="0" xfId="0" applyNumberFormat="1" applyFont="1" applyFill="1" applyBorder="1" applyAlignment="1">
      <alignment horizontal="left" vertical="top"/>
    </xf>
    <xf numFmtId="0" fontId="52" fillId="8" borderId="48" xfId="0" applyNumberFormat="1" applyFont="1" applyFill="1" applyBorder="1" applyAlignment="1">
      <alignment horizontal="left" vertical="top"/>
    </xf>
    <xf numFmtId="180" fontId="52" fillId="0" borderId="0" xfId="0" applyNumberFormat="1" applyFont="1" applyFill="1" applyBorder="1" applyAlignment="1">
      <alignment horizontal="left" vertical="top" wrapText="1"/>
    </xf>
    <xf numFmtId="0" fontId="52" fillId="8" borderId="49" xfId="0" applyNumberFormat="1" applyFont="1" applyFill="1" applyBorder="1" applyAlignment="1">
      <alignment horizontal="left" vertical="top"/>
    </xf>
    <xf numFmtId="0" fontId="52" fillId="8" borderId="22" xfId="0" applyNumberFormat="1" applyFont="1" applyFill="1" applyBorder="1" applyAlignment="1">
      <alignment horizontal="left" vertical="top"/>
    </xf>
    <xf numFmtId="0" fontId="52" fillId="8" borderId="50" xfId="0" applyNumberFormat="1" applyFont="1" applyFill="1" applyBorder="1" applyAlignment="1">
      <alignment horizontal="left" vertical="top"/>
    </xf>
    <xf numFmtId="0" fontId="52" fillId="30" borderId="0" xfId="0" applyFont="1" applyFill="1" applyBorder="1" applyAlignment="1">
      <alignment horizontal="left" vertical="top"/>
    </xf>
    <xf numFmtId="0" fontId="52" fillId="0" borderId="47" xfId="10" applyFont="1" applyFill="1" applyBorder="1" applyAlignment="1">
      <alignment horizontal="left" vertical="top"/>
    </xf>
    <xf numFmtId="180" fontId="52" fillId="0" borderId="0" xfId="0" applyNumberFormat="1" applyFont="1" applyFill="1" applyBorder="1" applyAlignment="1">
      <alignment horizontal="left" vertical="top"/>
    </xf>
    <xf numFmtId="0" fontId="52" fillId="0" borderId="0" xfId="10" applyFont="1" applyFill="1" applyBorder="1" applyAlignment="1">
      <alignment horizontal="left" vertical="top"/>
    </xf>
    <xf numFmtId="0" fontId="73" fillId="0" borderId="0" xfId="0" applyFont="1" applyFill="1" applyBorder="1" applyAlignment="1">
      <alignment horizontal="left" vertical="top"/>
    </xf>
    <xf numFmtId="0" fontId="52" fillId="0" borderId="49" xfId="0" applyFont="1" applyFill="1" applyBorder="1" applyAlignment="1">
      <alignment horizontal="left" vertical="top"/>
    </xf>
    <xf numFmtId="0" fontId="52" fillId="0" borderId="22" xfId="10" applyFont="1" applyFill="1" applyBorder="1" applyAlignment="1">
      <alignment horizontal="left" vertical="top" wrapText="1"/>
    </xf>
    <xf numFmtId="0" fontId="52" fillId="0" borderId="22" xfId="0" applyFont="1" applyFill="1" applyBorder="1" applyAlignment="1">
      <alignment horizontal="left" vertical="top"/>
    </xf>
    <xf numFmtId="0" fontId="52" fillId="0" borderId="50" xfId="0" applyFont="1" applyFill="1" applyBorder="1" applyAlignment="1">
      <alignment horizontal="left" vertical="top"/>
    </xf>
    <xf numFmtId="0" fontId="74" fillId="0" borderId="0" xfId="10" applyFont="1" applyFill="1" applyBorder="1" applyAlignment="1">
      <alignment horizontal="left" vertical="top" wrapText="1"/>
    </xf>
    <xf numFmtId="0" fontId="74" fillId="0" borderId="0" xfId="10" applyFont="1" applyFill="1" applyBorder="1" applyAlignment="1">
      <alignment horizontal="center" wrapText="1"/>
    </xf>
    <xf numFmtId="0" fontId="74" fillId="0" borderId="0" xfId="10" applyFont="1" applyFill="1" applyBorder="1" applyAlignment="1">
      <alignment wrapText="1"/>
    </xf>
    <xf numFmtId="0" fontId="74" fillId="0" borderId="47" xfId="10" applyFont="1" applyFill="1" applyBorder="1" applyAlignment="1">
      <alignment horizontal="center" wrapText="1"/>
    </xf>
    <xf numFmtId="0" fontId="62" fillId="35" borderId="0" xfId="0" applyFont="1" applyFill="1"/>
    <xf numFmtId="0" fontId="72" fillId="0" borderId="0" xfId="0" applyFont="1" applyFill="1" applyBorder="1" applyAlignment="1">
      <alignment horizontal="left" vertical="center"/>
    </xf>
    <xf numFmtId="0" fontId="74" fillId="0" borderId="22" xfId="0" applyFont="1" applyFill="1" applyBorder="1" applyAlignment="1">
      <alignment horizontal="center" vertical="top" wrapText="1"/>
    </xf>
    <xf numFmtId="0" fontId="74" fillId="0" borderId="22" xfId="0" applyFont="1" applyFill="1" applyBorder="1" applyAlignment="1">
      <alignment vertical="top" wrapText="1"/>
    </xf>
    <xf numFmtId="0" fontId="72" fillId="0" borderId="22" xfId="0" applyFont="1" applyFill="1" applyBorder="1" applyAlignment="1">
      <alignment horizontal="left" vertical="center"/>
    </xf>
    <xf numFmtId="0" fontId="72" fillId="0" borderId="50" xfId="0" applyFont="1" applyFill="1" applyBorder="1" applyAlignment="1">
      <alignment horizontal="left" vertical="center"/>
    </xf>
    <xf numFmtId="0" fontId="52" fillId="35" borderId="0" xfId="0" applyFont="1" applyFill="1" applyAlignment="1">
      <alignment horizontal="left" vertical="center"/>
    </xf>
    <xf numFmtId="0" fontId="74" fillId="0" borderId="22" xfId="10" applyFont="1" applyFill="1" applyBorder="1" applyAlignment="1">
      <alignment horizontal="center" wrapText="1"/>
    </xf>
    <xf numFmtId="0" fontId="74" fillId="0" borderId="22" xfId="10" applyFont="1" applyFill="1" applyBorder="1" applyAlignment="1">
      <alignment wrapText="1"/>
    </xf>
    <xf numFmtId="0" fontId="72" fillId="0" borderId="48" xfId="0" applyFont="1" applyFill="1" applyBorder="1" applyAlignment="1">
      <alignment horizontal="left" vertical="center"/>
    </xf>
    <xf numFmtId="43" fontId="72" fillId="0" borderId="0" xfId="0" applyNumberFormat="1" applyFont="1" applyFill="1" applyBorder="1" applyAlignment="1">
      <alignment horizontal="left" vertical="center"/>
    </xf>
    <xf numFmtId="0" fontId="74" fillId="0" borderId="0" xfId="0" applyFont="1" applyFill="1" applyBorder="1" applyAlignment="1">
      <alignment horizontal="center" vertical="top" wrapText="1"/>
    </xf>
    <xf numFmtId="0" fontId="74" fillId="0" borderId="0" xfId="0" applyFont="1" applyFill="1" applyBorder="1" applyAlignment="1">
      <alignment vertical="top" wrapText="1"/>
    </xf>
    <xf numFmtId="0" fontId="52" fillId="30" borderId="1" xfId="0" applyNumberFormat="1" applyFont="1" applyFill="1" applyBorder="1" applyAlignment="1" applyProtection="1">
      <alignment horizontal="left" vertical="center" wrapText="1"/>
      <protection locked="0"/>
    </xf>
    <xf numFmtId="1" fontId="52" fillId="30" borderId="1" xfId="0" applyNumberFormat="1" applyFont="1" applyFill="1" applyBorder="1" applyAlignment="1" applyProtection="1">
      <alignment horizontal="left" vertical="center" wrapText="1"/>
      <protection locked="0"/>
    </xf>
    <xf numFmtId="9" fontId="52" fillId="30" borderId="1" xfId="0" applyNumberFormat="1" applyFont="1" applyFill="1" applyBorder="1" applyAlignment="1">
      <alignment horizontal="left" vertical="center"/>
    </xf>
    <xf numFmtId="0" fontId="27" fillId="43" borderId="31" xfId="0" applyNumberFormat="1" applyFont="1" applyFill="1" applyBorder="1" applyAlignment="1">
      <alignment horizontal="left"/>
    </xf>
    <xf numFmtId="0" fontId="27" fillId="43" borderId="31" xfId="0" applyNumberFormat="1" applyFont="1" applyFill="1" applyBorder="1" applyAlignment="1">
      <alignment horizontal="center"/>
    </xf>
    <xf numFmtId="0" fontId="30" fillId="43" borderId="31" xfId="0" applyNumberFormat="1" applyFont="1" applyFill="1" applyBorder="1" applyAlignment="1">
      <alignment horizontal="left"/>
    </xf>
    <xf numFmtId="0" fontId="30" fillId="44" borderId="31" xfId="0" applyNumberFormat="1" applyFont="1" applyFill="1" applyBorder="1" applyAlignment="1">
      <alignment horizontal="center"/>
    </xf>
    <xf numFmtId="0" fontId="27" fillId="44" borderId="31" xfId="0" applyNumberFormat="1" applyFont="1" applyFill="1" applyBorder="1" applyAlignment="1">
      <alignment horizontal="center"/>
    </xf>
    <xf numFmtId="0" fontId="28" fillId="43" borderId="31" xfId="0" applyNumberFormat="1" applyFont="1" applyFill="1" applyBorder="1" applyAlignment="1"/>
    <xf numFmtId="169" fontId="27" fillId="26" borderId="36" xfId="0" applyNumberFormat="1" applyFont="1" applyFill="1" applyBorder="1" applyAlignment="1" applyProtection="1">
      <alignment horizontal="center"/>
      <protection hidden="1"/>
    </xf>
    <xf numFmtId="168" fontId="27" fillId="26" borderId="62" xfId="0" applyNumberFormat="1" applyFont="1" applyFill="1" applyBorder="1" applyProtection="1">
      <protection hidden="1"/>
    </xf>
    <xf numFmtId="0" fontId="27" fillId="3" borderId="1" xfId="10" applyFont="1" applyFill="1" applyBorder="1" applyAlignment="1">
      <alignment horizontal="left"/>
    </xf>
    <xf numFmtId="169" fontId="43" fillId="3" borderId="1" xfId="0" applyNumberFormat="1" applyFont="1" applyFill="1" applyBorder="1"/>
    <xf numFmtId="0" fontId="43" fillId="3" borderId="1" xfId="0" applyFont="1" applyFill="1" applyBorder="1"/>
    <xf numFmtId="0" fontId="43" fillId="0" borderId="0" xfId="0" applyFont="1" applyAlignment="1"/>
    <xf numFmtId="0" fontId="27" fillId="0" borderId="47" xfId="0" applyFont="1" applyBorder="1" applyAlignment="1">
      <alignment wrapText="1"/>
    </xf>
    <xf numFmtId="0" fontId="27" fillId="21" borderId="1" xfId="0" applyFont="1" applyFill="1" applyBorder="1" applyAlignment="1">
      <alignment horizontal="left" shrinkToFit="1"/>
    </xf>
    <xf numFmtId="0" fontId="43" fillId="2" borderId="1" xfId="0" applyFont="1" applyFill="1" applyBorder="1" applyAlignment="1"/>
    <xf numFmtId="0" fontId="51" fillId="28" borderId="0" xfId="0" applyNumberFormat="1" applyFont="1" applyFill="1" applyBorder="1" applyAlignment="1">
      <alignment horizontal="right" vertical="top"/>
    </xf>
    <xf numFmtId="0" fontId="43" fillId="28" borderId="0" xfId="0" applyFont="1" applyFill="1" applyBorder="1" applyAlignment="1"/>
    <xf numFmtId="0" fontId="43" fillId="28" borderId="0" xfId="0" applyFont="1" applyFill="1" applyBorder="1" applyAlignment="1">
      <alignment horizontal="left" vertical="top"/>
    </xf>
    <xf numFmtId="0" fontId="80" fillId="28" borderId="0" xfId="0" applyFont="1" applyFill="1" applyBorder="1" applyAlignment="1">
      <alignment horizontal="left" vertical="top"/>
    </xf>
    <xf numFmtId="0" fontId="43" fillId="28" borderId="23" xfId="0" applyFont="1" applyFill="1" applyBorder="1" applyAlignment="1"/>
    <xf numFmtId="0" fontId="43" fillId="28" borderId="46" xfId="0" applyFont="1" applyFill="1" applyBorder="1" applyAlignment="1"/>
    <xf numFmtId="0" fontId="43" fillId="28" borderId="48" xfId="0" applyFont="1" applyFill="1" applyBorder="1" applyAlignment="1"/>
    <xf numFmtId="0" fontId="43" fillId="28" borderId="47" xfId="0" applyFont="1" applyFill="1" applyBorder="1" applyAlignment="1"/>
    <xf numFmtId="0" fontId="43" fillId="28" borderId="47" xfId="0" applyFont="1" applyFill="1" applyBorder="1" applyAlignment="1">
      <alignment horizontal="left" vertical="top"/>
    </xf>
    <xf numFmtId="0" fontId="80" fillId="28" borderId="48" xfId="0" applyFont="1" applyFill="1" applyBorder="1" applyAlignment="1">
      <alignment horizontal="left" vertical="top"/>
    </xf>
    <xf numFmtId="0" fontId="80" fillId="28" borderId="49" xfId="0" applyFont="1" applyFill="1" applyBorder="1" applyAlignment="1">
      <alignment horizontal="left" vertical="top"/>
    </xf>
    <xf numFmtId="0" fontId="43" fillId="28" borderId="22" xfId="0" applyFont="1" applyFill="1" applyBorder="1" applyAlignment="1">
      <alignment horizontal="left" vertical="top"/>
    </xf>
    <xf numFmtId="0" fontId="80" fillId="28" borderId="22" xfId="0" applyFont="1" applyFill="1" applyBorder="1" applyAlignment="1">
      <alignment horizontal="left" vertical="top"/>
    </xf>
    <xf numFmtId="0" fontId="80" fillId="28" borderId="50" xfId="0" applyFont="1" applyFill="1" applyBorder="1" applyAlignment="1">
      <alignment horizontal="left" vertical="top"/>
    </xf>
    <xf numFmtId="0" fontId="52" fillId="28" borderId="47" xfId="10" applyNumberFormat="1" applyFont="1" applyFill="1" applyBorder="1" applyAlignment="1"/>
    <xf numFmtId="0" fontId="52" fillId="28" borderId="0" xfId="0" applyNumberFormat="1" applyFont="1" applyFill="1" applyBorder="1" applyAlignment="1"/>
    <xf numFmtId="0" fontId="52" fillId="28" borderId="47" xfId="0" applyNumberFormat="1" applyFont="1" applyFill="1" applyBorder="1" applyAlignment="1"/>
    <xf numFmtId="0" fontId="52" fillId="28" borderId="22" xfId="0" applyNumberFormat="1" applyFont="1" applyFill="1" applyBorder="1" applyAlignment="1"/>
    <xf numFmtId="0" fontId="52" fillId="28" borderId="0" xfId="0" applyNumberFormat="1" applyFont="1" applyFill="1" applyAlignment="1"/>
    <xf numFmtId="0" fontId="52" fillId="28" borderId="47" xfId="0" applyNumberFormat="1" applyFont="1" applyFill="1" applyBorder="1" applyAlignment="1">
      <alignment vertical="top"/>
    </xf>
    <xf numFmtId="0" fontId="52" fillId="28" borderId="0" xfId="0" applyNumberFormat="1" applyFont="1" applyFill="1" applyBorder="1" applyAlignment="1">
      <alignment vertical="top"/>
    </xf>
    <xf numFmtId="0" fontId="52" fillId="28" borderId="0" xfId="10" applyNumberFormat="1" applyFont="1" applyFill="1" applyBorder="1" applyAlignment="1">
      <alignment horizontal="center"/>
    </xf>
    <xf numFmtId="0" fontId="52" fillId="28" borderId="0" xfId="10" applyNumberFormat="1" applyFont="1" applyFill="1" applyBorder="1" applyAlignment="1"/>
    <xf numFmtId="0" fontId="52" fillId="28" borderId="47" xfId="10" applyNumberFormat="1" applyFont="1" applyFill="1" applyBorder="1" applyAlignment="1">
      <alignment horizontal="center"/>
    </xf>
    <xf numFmtId="0" fontId="28" fillId="28" borderId="0" xfId="0" applyFont="1" applyFill="1" applyBorder="1" applyAlignment="1"/>
    <xf numFmtId="0" fontId="26" fillId="28" borderId="0" xfId="0" applyFont="1" applyFill="1" applyBorder="1" applyAlignment="1"/>
    <xf numFmtId="0" fontId="26" fillId="0" borderId="0" xfId="0" applyFont="1" applyFill="1" applyAlignment="1">
      <alignment horizontal="left" vertical="top"/>
    </xf>
    <xf numFmtId="0" fontId="27" fillId="0" borderId="0" xfId="0" applyFont="1" applyFill="1" applyBorder="1" applyAlignment="1">
      <alignment vertical="top" wrapText="1"/>
    </xf>
    <xf numFmtId="0" fontId="28" fillId="26" borderId="0" xfId="0" applyFont="1" applyFill="1" applyBorder="1"/>
    <xf numFmtId="0" fontId="43" fillId="3" borderId="0" xfId="0" applyFont="1" applyFill="1"/>
    <xf numFmtId="168" fontId="43" fillId="3" borderId="0" xfId="0" applyNumberFormat="1" applyFont="1" applyFill="1"/>
    <xf numFmtId="169" fontId="81" fillId="26" borderId="0" xfId="0" applyNumberFormat="1" applyFont="1" applyFill="1" applyBorder="1"/>
    <xf numFmtId="0" fontId="27" fillId="26" borderId="31" xfId="0" applyFont="1" applyFill="1" applyBorder="1" applyAlignment="1" applyProtection="1">
      <protection hidden="1"/>
    </xf>
    <xf numFmtId="168" fontId="27" fillId="26" borderId="52" xfId="0" applyNumberFormat="1" applyFont="1" applyFill="1" applyBorder="1" applyAlignment="1" applyProtection="1">
      <protection hidden="1"/>
    </xf>
    <xf numFmtId="180" fontId="29" fillId="47" borderId="31" xfId="0" applyNumberFormat="1" applyFont="1" applyFill="1" applyBorder="1" applyAlignment="1">
      <alignment horizontal="left" vertical="top"/>
    </xf>
    <xf numFmtId="0" fontId="43" fillId="3" borderId="0" xfId="0" applyFont="1" applyFill="1" applyBorder="1"/>
    <xf numFmtId="0" fontId="27" fillId="3" borderId="17" xfId="10" applyFont="1" applyFill="1" applyBorder="1" applyAlignment="1">
      <alignment horizontal="left"/>
    </xf>
    <xf numFmtId="0" fontId="27" fillId="3" borderId="19" xfId="0" applyFont="1" applyFill="1" applyBorder="1" applyAlignment="1">
      <alignment horizontal="left"/>
    </xf>
    <xf numFmtId="0" fontId="27" fillId="3" borderId="51" xfId="10" applyFont="1" applyFill="1" applyBorder="1" applyAlignment="1">
      <alignment horizontal="left"/>
    </xf>
    <xf numFmtId="0" fontId="27" fillId="3" borderId="31" xfId="10" applyFont="1" applyFill="1" applyBorder="1" applyAlignment="1">
      <alignment horizontal="left"/>
    </xf>
    <xf numFmtId="0" fontId="27" fillId="3" borderId="42" xfId="10" applyFont="1" applyFill="1" applyBorder="1" applyAlignment="1">
      <alignment horizontal="left"/>
    </xf>
    <xf numFmtId="169" fontId="43" fillId="3" borderId="0" xfId="0" applyNumberFormat="1" applyFont="1" applyFill="1"/>
    <xf numFmtId="168" fontId="43" fillId="3" borderId="6" xfId="0" applyNumberFormat="1" applyFont="1" applyFill="1" applyBorder="1"/>
    <xf numFmtId="0" fontId="27" fillId="26" borderId="5" xfId="0" applyFont="1" applyFill="1" applyBorder="1"/>
    <xf numFmtId="169" fontId="27" fillId="26" borderId="6" xfId="0" applyNumberFormat="1" applyFont="1" applyFill="1" applyBorder="1"/>
    <xf numFmtId="0" fontId="29" fillId="26" borderId="5" xfId="0" applyFont="1" applyFill="1" applyBorder="1"/>
    <xf numFmtId="180" fontId="29" fillId="47" borderId="51" xfId="0" applyNumberFormat="1" applyFont="1" applyFill="1" applyBorder="1" applyAlignment="1">
      <alignment horizontal="left" vertical="top"/>
    </xf>
    <xf numFmtId="168" fontId="27" fillId="3" borderId="10" xfId="10" applyNumberFormat="1" applyFont="1" applyFill="1" applyBorder="1" applyAlignment="1">
      <alignment horizontal="left"/>
    </xf>
    <xf numFmtId="0" fontId="43" fillId="3" borderId="7" xfId="0" applyFont="1" applyFill="1" applyBorder="1"/>
    <xf numFmtId="0" fontId="43" fillId="3" borderId="8" xfId="0" applyFont="1" applyFill="1" applyBorder="1"/>
    <xf numFmtId="0" fontId="43" fillId="3" borderId="9" xfId="0" applyFont="1" applyFill="1" applyBorder="1"/>
    <xf numFmtId="0" fontId="72" fillId="3" borderId="1" xfId="6" applyFont="1" applyFill="1" applyBorder="1" applyAlignment="1">
      <alignment horizontal="left"/>
    </xf>
    <xf numFmtId="0" fontId="52" fillId="3" borderId="1" xfId="6" applyFont="1" applyFill="1" applyBorder="1" applyAlignment="1">
      <alignment horizontal="left"/>
    </xf>
    <xf numFmtId="183" fontId="52" fillId="3" borderId="1" xfId="6" applyNumberFormat="1" applyFont="1" applyFill="1" applyBorder="1" applyAlignment="1" applyProtection="1">
      <alignment horizontal="left"/>
      <protection locked="0"/>
    </xf>
    <xf numFmtId="0" fontId="82" fillId="3" borderId="1" xfId="6" applyFont="1" applyFill="1" applyBorder="1" applyAlignment="1">
      <alignment horizontal="left"/>
    </xf>
    <xf numFmtId="183" fontId="83" fillId="3" borderId="1" xfId="0" applyNumberFormat="1" applyFont="1" applyFill="1" applyBorder="1" applyAlignment="1">
      <alignment horizontal="left"/>
    </xf>
    <xf numFmtId="43" fontId="82" fillId="3" borderId="1" xfId="5" applyNumberFormat="1" applyFont="1" applyFill="1" applyBorder="1" applyAlignment="1">
      <alignment vertical="top"/>
    </xf>
    <xf numFmtId="43" fontId="43" fillId="3" borderId="1" xfId="0" applyNumberFormat="1" applyFont="1" applyFill="1" applyBorder="1" applyAlignment="1">
      <alignment vertical="top"/>
    </xf>
    <xf numFmtId="43" fontId="52" fillId="3" borderId="1" xfId="5" applyNumberFormat="1" applyFont="1" applyFill="1" applyBorder="1" applyAlignment="1">
      <alignment vertical="top"/>
    </xf>
    <xf numFmtId="43" fontId="84" fillId="3" borderId="1" xfId="5" applyNumberFormat="1" applyFont="1" applyFill="1" applyBorder="1" applyAlignment="1">
      <alignment vertical="top"/>
    </xf>
    <xf numFmtId="43" fontId="52" fillId="3" borderId="1" xfId="0" applyNumberFormat="1" applyFont="1" applyFill="1" applyBorder="1" applyAlignment="1">
      <alignment vertical="top"/>
    </xf>
    <xf numFmtId="43" fontId="28" fillId="3" borderId="1" xfId="0" applyNumberFormat="1" applyFont="1" applyFill="1" applyBorder="1" applyAlignment="1">
      <alignment vertical="top"/>
    </xf>
    <xf numFmtId="43" fontId="28" fillId="3" borderId="1" xfId="5" applyNumberFormat="1" applyFont="1" applyFill="1" applyBorder="1" applyAlignment="1">
      <alignment vertical="top"/>
    </xf>
    <xf numFmtId="43" fontId="83" fillId="3" borderId="1" xfId="5" applyNumberFormat="1" applyFont="1" applyFill="1" applyBorder="1" applyAlignment="1">
      <alignment vertical="top"/>
    </xf>
    <xf numFmtId="43" fontId="83" fillId="3" borderId="1" xfId="0" applyNumberFormat="1" applyFont="1" applyFill="1" applyBorder="1" applyAlignment="1">
      <alignment vertical="top"/>
    </xf>
    <xf numFmtId="0" fontId="28" fillId="3" borderId="1" xfId="0" applyFont="1" applyFill="1" applyBorder="1"/>
    <xf numFmtId="169" fontId="27" fillId="3" borderId="1" xfId="10" applyNumberFormat="1" applyFont="1" applyFill="1" applyBorder="1" applyAlignment="1">
      <alignment horizontal="left" vertical="top"/>
    </xf>
    <xf numFmtId="0" fontId="32" fillId="48" borderId="31" xfId="0" applyFont="1" applyFill="1" applyBorder="1" applyAlignment="1">
      <alignment horizontal="left"/>
    </xf>
    <xf numFmtId="0" fontId="33" fillId="48" borderId="31" xfId="0" applyFont="1" applyFill="1" applyBorder="1" applyAlignment="1">
      <alignment horizontal="left"/>
    </xf>
    <xf numFmtId="0" fontId="32" fillId="48" borderId="31" xfId="0" applyFont="1" applyFill="1" applyBorder="1" applyAlignment="1"/>
    <xf numFmtId="0" fontId="0" fillId="42" borderId="0" xfId="0" applyFill="1" applyAlignment="1"/>
    <xf numFmtId="0" fontId="34" fillId="48" borderId="31" xfId="0" applyFont="1" applyFill="1" applyBorder="1" applyAlignment="1">
      <alignment horizontal="left"/>
    </xf>
    <xf numFmtId="0" fontId="44" fillId="42" borderId="1" xfId="0" applyFont="1" applyFill="1" applyBorder="1" applyAlignment="1"/>
    <xf numFmtId="0" fontId="0" fillId="42" borderId="11" xfId="0" applyFill="1" applyBorder="1" applyAlignment="1"/>
    <xf numFmtId="0" fontId="0" fillId="42" borderId="12" xfId="0" applyFill="1" applyBorder="1" applyAlignment="1"/>
    <xf numFmtId="0" fontId="0" fillId="42" borderId="13" xfId="0" applyFill="1" applyBorder="1" applyAlignment="1"/>
    <xf numFmtId="0" fontId="0" fillId="42" borderId="20" xfId="0" applyFill="1" applyBorder="1" applyAlignment="1"/>
    <xf numFmtId="0" fontId="44" fillId="42" borderId="20" xfId="0" applyFont="1" applyFill="1" applyBorder="1" applyAlignment="1"/>
    <xf numFmtId="10" fontId="0" fillId="42" borderId="20" xfId="0" applyNumberFormat="1" applyFill="1" applyBorder="1" applyAlignment="1"/>
    <xf numFmtId="0" fontId="50" fillId="42" borderId="1" xfId="0" applyFont="1" applyFill="1" applyBorder="1" applyAlignment="1"/>
    <xf numFmtId="0" fontId="50" fillId="42" borderId="0" xfId="0" applyFont="1" applyFill="1" applyAlignment="1"/>
    <xf numFmtId="10" fontId="0" fillId="42" borderId="1" xfId="0" applyNumberFormat="1" applyFill="1" applyBorder="1" applyAlignment="1"/>
    <xf numFmtId="10" fontId="50" fillId="42" borderId="1" xfId="0" applyNumberFormat="1" applyFont="1" applyFill="1" applyBorder="1" applyAlignment="1"/>
    <xf numFmtId="10" fontId="0" fillId="42" borderId="1" xfId="0" applyNumberFormat="1" applyFont="1" applyFill="1" applyBorder="1" applyAlignment="1"/>
    <xf numFmtId="0" fontId="0" fillId="42" borderId="1" xfId="0" applyFill="1" applyBorder="1" applyAlignment="1"/>
    <xf numFmtId="0" fontId="4" fillId="30" borderId="0" xfId="0" applyFont="1" applyFill="1"/>
    <xf numFmtId="0" fontId="4" fillId="30" borderId="0" xfId="0" applyFont="1" applyFill="1" applyAlignment="1"/>
    <xf numFmtId="0" fontId="10" fillId="30" borderId="0" xfId="0" applyFont="1" applyFill="1"/>
    <xf numFmtId="0" fontId="11" fillId="30" borderId="0" xfId="0" applyFont="1" applyFill="1"/>
    <xf numFmtId="0" fontId="20" fillId="30" borderId="3" xfId="0" applyFont="1" applyFill="1" applyBorder="1"/>
    <xf numFmtId="0" fontId="20" fillId="30" borderId="4" xfId="0" applyFont="1" applyFill="1" applyBorder="1"/>
    <xf numFmtId="169" fontId="12" fillId="30" borderId="8" xfId="0" applyNumberFormat="1" applyFont="1" applyFill="1" applyBorder="1" applyAlignment="1">
      <alignment horizontal="left" wrapText="1"/>
    </xf>
    <xf numFmtId="169" fontId="12" fillId="30" borderId="9" xfId="0" applyNumberFormat="1" applyFont="1" applyFill="1" applyBorder="1" applyAlignment="1">
      <alignment horizontal="left" wrapText="1"/>
    </xf>
    <xf numFmtId="169" fontId="4" fillId="30" borderId="0" xfId="0" applyNumberFormat="1" applyFont="1" applyFill="1"/>
    <xf numFmtId="0" fontId="16" fillId="30" borderId="0" xfId="7" applyFill="1" applyAlignment="1" applyProtection="1"/>
    <xf numFmtId="0" fontId="51" fillId="46" borderId="48" xfId="0" applyNumberFormat="1" applyFont="1" applyFill="1" applyBorder="1" applyAlignment="1">
      <alignment horizontal="left" vertical="top"/>
    </xf>
    <xf numFmtId="0" fontId="52" fillId="0" borderId="0" xfId="0" applyFont="1"/>
    <xf numFmtId="0" fontId="52" fillId="0" borderId="23" xfId="0" applyFont="1" applyBorder="1" applyAlignment="1">
      <alignment horizontal="left" vertical="top"/>
    </xf>
    <xf numFmtId="0" fontId="52" fillId="0" borderId="46" xfId="0" applyFont="1" applyBorder="1" applyAlignment="1">
      <alignment horizontal="left" vertical="top"/>
    </xf>
    <xf numFmtId="0" fontId="52" fillId="0" borderId="47" xfId="10" applyFont="1" applyFill="1" applyBorder="1" applyAlignment="1">
      <alignment horizontal="left"/>
    </xf>
    <xf numFmtId="0" fontId="52" fillId="0" borderId="0" xfId="0" applyFont="1" applyBorder="1" applyAlignment="1">
      <alignment horizontal="left" vertical="top"/>
    </xf>
    <xf numFmtId="0" fontId="52" fillId="0" borderId="48" xfId="0" applyFont="1" applyBorder="1" applyAlignment="1">
      <alignment horizontal="left" vertical="top"/>
    </xf>
    <xf numFmtId="0" fontId="52" fillId="0" borderId="47" xfId="0" applyFont="1" applyBorder="1" applyAlignment="1">
      <alignment horizontal="left" vertical="top"/>
    </xf>
    <xf numFmtId="0" fontId="52" fillId="0" borderId="0" xfId="0" applyFont="1" applyBorder="1" applyAlignment="1">
      <alignment horizontal="center" vertical="top" wrapText="1"/>
    </xf>
    <xf numFmtId="0" fontId="52" fillId="0" borderId="0" xfId="0" applyFont="1" applyBorder="1" applyAlignment="1">
      <alignment vertical="top" wrapText="1"/>
    </xf>
    <xf numFmtId="0" fontId="52" fillId="27" borderId="1" xfId="0" applyFont="1" applyFill="1" applyBorder="1" applyAlignment="1">
      <alignment horizontal="left" vertical="top"/>
    </xf>
    <xf numFmtId="0" fontId="52" fillId="8" borderId="0" xfId="0" applyNumberFormat="1" applyFont="1" applyFill="1" applyBorder="1" applyAlignment="1">
      <alignment horizontal="center" vertical="top" wrapText="1"/>
    </xf>
    <xf numFmtId="0" fontId="52" fillId="8" borderId="0" xfId="0" applyNumberFormat="1" applyFont="1" applyFill="1" applyBorder="1" applyAlignment="1">
      <alignment vertical="top" wrapText="1"/>
    </xf>
    <xf numFmtId="0" fontId="52" fillId="34" borderId="0" xfId="0" applyNumberFormat="1" applyFont="1" applyFill="1" applyBorder="1" applyAlignment="1">
      <alignment horizontal="left" vertical="top"/>
    </xf>
    <xf numFmtId="0" fontId="52" fillId="0" borderId="47" xfId="10" applyFont="1" applyFill="1" applyBorder="1" applyAlignment="1">
      <alignment horizontal="center" wrapText="1"/>
    </xf>
    <xf numFmtId="0" fontId="52" fillId="0" borderId="0" xfId="10" applyFont="1" applyFill="1" applyBorder="1" applyAlignment="1">
      <alignment wrapText="1"/>
    </xf>
    <xf numFmtId="0" fontId="52" fillId="0" borderId="0" xfId="10" applyFont="1" applyFill="1" applyBorder="1" applyAlignment="1">
      <alignment horizontal="left"/>
    </xf>
    <xf numFmtId="0" fontId="52" fillId="34" borderId="0" xfId="0" applyNumberFormat="1" applyFont="1" applyFill="1" applyBorder="1" applyAlignment="1">
      <alignment horizontal="center" vertical="top" wrapText="1"/>
    </xf>
    <xf numFmtId="0" fontId="52" fillId="34" borderId="0" xfId="0" applyNumberFormat="1" applyFont="1" applyFill="1" applyBorder="1" applyAlignment="1">
      <alignment vertical="top" wrapText="1"/>
    </xf>
    <xf numFmtId="0" fontId="52" fillId="34" borderId="48" xfId="0" applyNumberFormat="1" applyFont="1" applyFill="1" applyBorder="1" applyAlignment="1">
      <alignment horizontal="left" vertical="top"/>
    </xf>
    <xf numFmtId="0" fontId="52" fillId="34" borderId="47" xfId="0" applyNumberFormat="1" applyFont="1" applyFill="1" applyBorder="1" applyAlignment="1">
      <alignment horizontal="left" vertical="top"/>
    </xf>
    <xf numFmtId="0" fontId="52" fillId="34" borderId="49" xfId="0" applyNumberFormat="1" applyFont="1" applyFill="1" applyBorder="1" applyAlignment="1">
      <alignment horizontal="left" vertical="top"/>
    </xf>
    <xf numFmtId="0" fontId="52" fillId="34" borderId="22" xfId="0" applyNumberFormat="1" applyFont="1" applyFill="1" applyBorder="1" applyAlignment="1">
      <alignment horizontal="left" vertical="top"/>
    </xf>
    <xf numFmtId="0" fontId="52" fillId="34" borderId="22" xfId="0" applyFont="1" applyFill="1" applyBorder="1" applyAlignment="1">
      <alignment horizontal="left" vertical="top"/>
    </xf>
    <xf numFmtId="0" fontId="52" fillId="34" borderId="50" xfId="0" applyFont="1" applyFill="1" applyBorder="1" applyAlignment="1">
      <alignment horizontal="left" vertical="top"/>
    </xf>
    <xf numFmtId="0" fontId="52" fillId="0" borderId="0" xfId="0" applyFont="1" applyAlignment="1">
      <alignment horizontal="left" vertical="top"/>
    </xf>
    <xf numFmtId="0" fontId="52" fillId="0" borderId="23" xfId="0" applyFont="1" applyBorder="1" applyAlignment="1">
      <alignment horizontal="left" vertical="top" wrapText="1"/>
    </xf>
    <xf numFmtId="0" fontId="52" fillId="0" borderId="46" xfId="0" applyFont="1" applyBorder="1" applyAlignment="1">
      <alignment horizontal="left" vertical="top" wrapText="1"/>
    </xf>
    <xf numFmtId="0" fontId="52" fillId="0" borderId="0" xfId="0" applyFont="1" applyBorder="1" applyAlignment="1">
      <alignment horizontal="left" vertical="top" wrapText="1"/>
    </xf>
    <xf numFmtId="0" fontId="52" fillId="27" borderId="1" xfId="0" applyFont="1" applyFill="1" applyBorder="1" applyAlignment="1">
      <alignment horizontal="left" vertical="top" wrapText="1"/>
    </xf>
    <xf numFmtId="0" fontId="52" fillId="0" borderId="48" xfId="0" applyFont="1" applyBorder="1" applyAlignment="1">
      <alignment horizontal="left" vertical="top" wrapText="1"/>
    </xf>
    <xf numFmtId="0" fontId="52" fillId="0" borderId="47" xfId="0" applyFont="1" applyBorder="1" applyAlignment="1">
      <alignment horizontal="left" vertical="top" wrapText="1"/>
    </xf>
    <xf numFmtId="0" fontId="52" fillId="0" borderId="47" xfId="0" applyFont="1" applyBorder="1" applyAlignment="1">
      <alignment horizontal="center" vertical="top" wrapText="1"/>
    </xf>
    <xf numFmtId="0" fontId="52" fillId="0" borderId="47" xfId="0" applyFont="1" applyBorder="1" applyAlignment="1">
      <alignment vertical="top" wrapText="1"/>
    </xf>
    <xf numFmtId="0" fontId="52" fillId="0" borderId="32" xfId="0" applyFont="1" applyBorder="1" applyAlignment="1">
      <alignment horizontal="left" vertical="top"/>
    </xf>
    <xf numFmtId="0" fontId="52" fillId="0" borderId="0" xfId="0" applyFont="1" applyBorder="1"/>
    <xf numFmtId="0" fontId="52" fillId="0" borderId="53" xfId="0" applyFont="1" applyBorder="1" applyAlignment="1">
      <alignment horizontal="left" vertical="top" wrapText="1"/>
    </xf>
    <xf numFmtId="0" fontId="52" fillId="0" borderId="38" xfId="10" applyFont="1" applyFill="1" applyBorder="1" applyAlignment="1">
      <alignment horizontal="center" wrapText="1"/>
    </xf>
    <xf numFmtId="0" fontId="52" fillId="0" borderId="38" xfId="10" applyFont="1" applyFill="1" applyBorder="1" applyAlignment="1">
      <alignment wrapText="1"/>
    </xf>
    <xf numFmtId="0" fontId="52" fillId="0" borderId="38" xfId="0" applyFont="1" applyBorder="1" applyAlignment="1">
      <alignment horizontal="left" vertical="top" wrapText="1"/>
    </xf>
    <xf numFmtId="0" fontId="52" fillId="0" borderId="38" xfId="0" applyFont="1" applyBorder="1" applyAlignment="1">
      <alignment horizontal="left" vertical="top"/>
    </xf>
    <xf numFmtId="0" fontId="52" fillId="0" borderId="54" xfId="0" applyFont="1" applyBorder="1" applyAlignment="1">
      <alignment horizontal="left" vertical="top" wrapText="1"/>
    </xf>
    <xf numFmtId="0" fontId="52" fillId="0" borderId="0" xfId="10" applyFont="1" applyFill="1" applyBorder="1" applyAlignment="1">
      <alignment horizontal="center" wrapText="1"/>
    </xf>
    <xf numFmtId="0" fontId="52" fillId="0" borderId="40" xfId="0" applyFont="1" applyBorder="1" applyAlignment="1">
      <alignment horizontal="left" vertical="top"/>
    </xf>
    <xf numFmtId="0" fontId="52" fillId="0" borderId="41" xfId="0" applyFont="1" applyBorder="1" applyAlignment="1">
      <alignment horizontal="left" vertical="top"/>
    </xf>
    <xf numFmtId="0" fontId="52" fillId="0" borderId="32" xfId="10" applyFont="1" applyFill="1" applyBorder="1" applyAlignment="1">
      <alignment horizontal="center" wrapText="1"/>
    </xf>
    <xf numFmtId="0" fontId="52" fillId="0" borderId="33" xfId="0" applyFont="1" applyBorder="1" applyAlignment="1">
      <alignment horizontal="left" vertical="top"/>
    </xf>
    <xf numFmtId="0" fontId="52" fillId="0" borderId="33" xfId="0" applyFont="1" applyBorder="1" applyAlignment="1">
      <alignment horizontal="left" vertical="top" wrapText="1"/>
    </xf>
    <xf numFmtId="181" fontId="52" fillId="0" borderId="23" xfId="13" applyNumberFormat="1" applyFont="1" applyFill="1" applyBorder="1" applyAlignment="1" applyProtection="1">
      <alignment horizontal="left" vertical="top"/>
    </xf>
    <xf numFmtId="181" fontId="52" fillId="0" borderId="46" xfId="13" applyNumberFormat="1" applyFont="1" applyFill="1" applyBorder="1" applyAlignment="1" applyProtection="1">
      <alignment horizontal="left" vertical="top"/>
    </xf>
    <xf numFmtId="0" fontId="52" fillId="0" borderId="0" xfId="10" applyFont="1" applyFill="1" applyBorder="1"/>
    <xf numFmtId="181" fontId="52" fillId="0" borderId="0" xfId="13" applyNumberFormat="1" applyFont="1" applyFill="1" applyBorder="1" applyAlignment="1" applyProtection="1">
      <alignment horizontal="left" vertical="top"/>
    </xf>
    <xf numFmtId="181" fontId="52" fillId="0" borderId="48" xfId="13" applyNumberFormat="1" applyFont="1" applyFill="1" applyBorder="1" applyAlignment="1" applyProtection="1">
      <alignment horizontal="left" vertical="top"/>
    </xf>
    <xf numFmtId="181" fontId="52" fillId="0" borderId="47" xfId="13" applyNumberFormat="1" applyFont="1" applyFill="1" applyBorder="1" applyAlignment="1" applyProtection="1">
      <alignment horizontal="left" vertical="top"/>
    </xf>
    <xf numFmtId="181" fontId="52" fillId="8" borderId="48" xfId="0" applyNumberFormat="1" applyFont="1" applyFill="1" applyBorder="1" applyAlignment="1">
      <alignment horizontal="left" vertical="top"/>
    </xf>
    <xf numFmtId="0" fontId="52" fillId="0" borderId="23" xfId="0" applyFont="1" applyBorder="1"/>
    <xf numFmtId="0" fontId="52" fillId="0" borderId="46" xfId="0" applyFont="1" applyBorder="1"/>
    <xf numFmtId="0" fontId="52" fillId="0" borderId="48" xfId="0" applyFont="1" applyFill="1" applyBorder="1" applyAlignment="1">
      <alignment horizontal="left" vertical="top" wrapText="1"/>
    </xf>
    <xf numFmtId="0" fontId="52" fillId="0" borderId="0" xfId="10" applyFont="1" applyFill="1" applyBorder="1" applyAlignment="1">
      <alignment horizontal="left" wrapText="1"/>
    </xf>
    <xf numFmtId="0" fontId="52" fillId="34" borderId="22" xfId="10" applyFont="1" applyFill="1" applyBorder="1"/>
    <xf numFmtId="0" fontId="52" fillId="34" borderId="22" xfId="0" applyFont="1" applyFill="1" applyBorder="1" applyAlignment="1">
      <alignment horizontal="left" vertical="top" wrapText="1"/>
    </xf>
    <xf numFmtId="0" fontId="52" fillId="34" borderId="50" xfId="0" applyFont="1" applyFill="1" applyBorder="1" applyAlignment="1">
      <alignment horizontal="left" vertical="top" wrapText="1"/>
    </xf>
    <xf numFmtId="0" fontId="52" fillId="0" borderId="47" xfId="0" applyFont="1" applyFill="1" applyBorder="1" applyAlignment="1">
      <alignment horizontal="center" wrapText="1"/>
    </xf>
    <xf numFmtId="4" fontId="52" fillId="0" borderId="0" xfId="0" applyNumberFormat="1" applyFont="1" applyFill="1" applyBorder="1" applyAlignment="1" applyProtection="1">
      <alignment horizontal="left" wrapText="1"/>
    </xf>
    <xf numFmtId="0" fontId="87" fillId="0" borderId="0" xfId="0" applyFont="1"/>
    <xf numFmtId="0" fontId="27" fillId="0" borderId="47" xfId="0" applyFont="1" applyBorder="1" applyAlignment="1">
      <alignment horizontal="left"/>
    </xf>
    <xf numFmtId="0" fontId="39" fillId="0" borderId="47" xfId="0" applyFont="1" applyBorder="1"/>
    <xf numFmtId="0" fontId="27" fillId="0" borderId="48" xfId="0" applyFont="1" applyFill="1" applyBorder="1" applyAlignment="1">
      <alignment vertical="top" wrapText="1"/>
    </xf>
    <xf numFmtId="0" fontId="27" fillId="0" borderId="54" xfId="0" applyFont="1" applyFill="1" applyBorder="1" applyAlignment="1">
      <alignment vertical="top" wrapText="1"/>
    </xf>
    <xf numFmtId="0" fontId="27" fillId="0" borderId="48" xfId="0" applyFont="1" applyBorder="1" applyAlignment="1">
      <alignment wrapText="1"/>
    </xf>
    <xf numFmtId="0" fontId="0" fillId="0" borderId="53" xfId="0" applyFill="1" applyBorder="1" applyAlignment="1">
      <alignment wrapText="1"/>
    </xf>
    <xf numFmtId="0" fontId="0" fillId="0" borderId="47" xfId="0" applyFill="1" applyBorder="1"/>
    <xf numFmtId="0" fontId="27" fillId="0" borderId="64" xfId="0" applyFont="1" applyBorder="1"/>
    <xf numFmtId="0" fontId="27" fillId="0" borderId="65" xfId="10" applyFont="1" applyFill="1" applyBorder="1" applyAlignment="1">
      <alignment horizontal="center" wrapText="1"/>
    </xf>
    <xf numFmtId="0" fontId="27" fillId="0" borderId="54" xfId="0" applyFont="1" applyBorder="1" applyAlignment="1">
      <alignment wrapText="1"/>
    </xf>
    <xf numFmtId="0" fontId="0" fillId="0" borderId="47" xfId="0" applyBorder="1"/>
    <xf numFmtId="0" fontId="27" fillId="0" borderId="53" xfId="0" applyFont="1" applyBorder="1"/>
    <xf numFmtId="0" fontId="27" fillId="34" borderId="22" xfId="0" applyFont="1" applyFill="1" applyBorder="1"/>
    <xf numFmtId="0" fontId="27" fillId="34" borderId="50" xfId="0" applyFont="1" applyFill="1" applyBorder="1"/>
    <xf numFmtId="0" fontId="52" fillId="0" borderId="0" xfId="0" applyNumberFormat="1" applyFont="1"/>
    <xf numFmtId="0" fontId="52" fillId="0" borderId="40" xfId="0" applyNumberFormat="1" applyFont="1" applyBorder="1" applyAlignment="1">
      <alignment horizontal="left" vertical="top"/>
    </xf>
    <xf numFmtId="0" fontId="52" fillId="0" borderId="41" xfId="0" applyNumberFormat="1" applyFont="1" applyBorder="1" applyAlignment="1">
      <alignment horizontal="left" vertical="top"/>
    </xf>
    <xf numFmtId="0" fontId="52" fillId="0" borderId="32" xfId="0" applyNumberFormat="1" applyFont="1" applyBorder="1" applyAlignment="1">
      <alignment horizontal="left" vertical="top"/>
    </xf>
    <xf numFmtId="0" fontId="52" fillId="0" borderId="0" xfId="0" applyNumberFormat="1" applyFont="1" applyBorder="1" applyAlignment="1">
      <alignment horizontal="left" vertical="top"/>
    </xf>
    <xf numFmtId="0" fontId="52" fillId="0" borderId="33" xfId="0" applyNumberFormat="1" applyFont="1" applyBorder="1" applyAlignment="1">
      <alignment horizontal="left" vertical="top"/>
    </xf>
    <xf numFmtId="0" fontId="52" fillId="0" borderId="32" xfId="10" applyNumberFormat="1" applyFont="1" applyFill="1" applyBorder="1" applyAlignment="1">
      <alignment horizontal="center" wrapText="1"/>
    </xf>
    <xf numFmtId="0" fontId="52" fillId="0" borderId="0" xfId="0" applyNumberFormat="1" applyFont="1" applyFill="1" applyBorder="1" applyAlignment="1">
      <alignment horizontal="left" vertical="top" wrapText="1"/>
    </xf>
    <xf numFmtId="0" fontId="52" fillId="0" borderId="0" xfId="0" applyNumberFormat="1" applyFont="1" applyAlignment="1">
      <alignment vertical="top" wrapText="1"/>
    </xf>
    <xf numFmtId="10" fontId="52" fillId="27" borderId="31" xfId="0" applyNumberFormat="1" applyFont="1" applyFill="1" applyBorder="1" applyAlignment="1">
      <alignment horizontal="left" vertical="top"/>
    </xf>
    <xf numFmtId="0" fontId="52" fillId="0" borderId="34" xfId="0" applyNumberFormat="1" applyFont="1" applyBorder="1" applyAlignment="1">
      <alignment horizontal="left" vertical="top"/>
    </xf>
    <xf numFmtId="0" fontId="52" fillId="0" borderId="38" xfId="0" applyNumberFormat="1" applyFont="1" applyBorder="1" applyAlignment="1">
      <alignment horizontal="left" vertical="top"/>
    </xf>
    <xf numFmtId="0" fontId="52" fillId="0" borderId="38" xfId="0" applyNumberFormat="1" applyFont="1" applyFill="1" applyBorder="1" applyAlignment="1">
      <alignment wrapText="1"/>
    </xf>
    <xf numFmtId="0" fontId="52" fillId="27" borderId="31" xfId="0" applyNumberFormat="1" applyFont="1" applyFill="1" applyBorder="1" applyAlignment="1">
      <alignment horizontal="left" vertical="top"/>
    </xf>
    <xf numFmtId="0" fontId="52" fillId="0" borderId="0" xfId="0" applyNumberFormat="1" applyFont="1" applyFill="1" applyBorder="1" applyAlignment="1">
      <alignment wrapText="1"/>
    </xf>
    <xf numFmtId="0" fontId="52" fillId="0" borderId="0" xfId="10" applyNumberFormat="1" applyFont="1" applyFill="1" applyBorder="1" applyAlignment="1">
      <alignment wrapText="1"/>
    </xf>
    <xf numFmtId="0" fontId="52" fillId="0" borderId="0" xfId="10" applyNumberFormat="1" applyFont="1" applyFill="1" applyBorder="1" applyAlignment="1">
      <alignment horizontal="left"/>
    </xf>
    <xf numFmtId="0" fontId="52" fillId="0" borderId="0" xfId="0" applyNumberFormat="1" applyFont="1" applyFill="1" applyBorder="1" applyAlignment="1">
      <alignment horizontal="left" vertical="top"/>
    </xf>
    <xf numFmtId="0" fontId="52" fillId="0" borderId="32" xfId="10" applyNumberFormat="1" applyFont="1" applyFill="1" applyBorder="1" applyAlignment="1">
      <alignment horizontal="left"/>
    </xf>
    <xf numFmtId="0" fontId="52" fillId="0" borderId="23" xfId="0" applyNumberFormat="1" applyFont="1" applyBorder="1" applyAlignment="1">
      <alignment horizontal="left" vertical="top"/>
    </xf>
    <xf numFmtId="0" fontId="52" fillId="0" borderId="46" xfId="0" applyNumberFormat="1" applyFont="1" applyBorder="1" applyAlignment="1">
      <alignment horizontal="left" vertical="top"/>
    </xf>
    <xf numFmtId="0" fontId="52" fillId="0" borderId="47" xfId="10" applyNumberFormat="1" applyFont="1" applyFill="1" applyBorder="1" applyAlignment="1">
      <alignment horizontal="center" wrapText="1"/>
    </xf>
    <xf numFmtId="0" fontId="52" fillId="0" borderId="48" xfId="0" applyNumberFormat="1" applyFont="1" applyBorder="1" applyAlignment="1">
      <alignment horizontal="left" vertical="top"/>
    </xf>
    <xf numFmtId="0" fontId="52" fillId="0" borderId="47" xfId="0" applyNumberFormat="1" applyFont="1" applyBorder="1" applyAlignment="1">
      <alignment horizontal="left" vertical="top"/>
    </xf>
    <xf numFmtId="10" fontId="52" fillId="27" borderId="0" xfId="0" applyNumberFormat="1" applyFont="1" applyFill="1" applyBorder="1" applyAlignment="1">
      <alignment horizontal="left" vertical="top"/>
    </xf>
    <xf numFmtId="0" fontId="52" fillId="27" borderId="48" xfId="0" applyNumberFormat="1" applyFont="1" applyFill="1" applyBorder="1" applyAlignment="1">
      <alignment horizontal="left" vertical="top"/>
    </xf>
    <xf numFmtId="0" fontId="52" fillId="0" borderId="0" xfId="9" applyNumberFormat="1" applyFont="1" applyFill="1" applyBorder="1" applyAlignment="1">
      <alignment horizontal="center" vertical="top" wrapText="1"/>
    </xf>
    <xf numFmtId="0" fontId="52" fillId="8" borderId="49" xfId="10" applyNumberFormat="1" applyFont="1" applyFill="1" applyBorder="1" applyAlignment="1">
      <alignment horizontal="center" wrapText="1"/>
    </xf>
    <xf numFmtId="0" fontId="52" fillId="8" borderId="22" xfId="0" applyNumberFormat="1" applyFont="1" applyFill="1" applyBorder="1" applyAlignment="1">
      <alignment horizontal="left" vertical="top" wrapText="1"/>
    </xf>
    <xf numFmtId="0" fontId="52" fillId="0" borderId="0" xfId="0" applyNumberFormat="1" applyFont="1" applyAlignment="1">
      <alignment horizontal="left" vertical="top"/>
    </xf>
    <xf numFmtId="0" fontId="52" fillId="0" borderId="0" xfId="10" applyNumberFormat="1" applyFont="1" applyFill="1" applyBorder="1" applyAlignment="1">
      <alignment horizontal="left" vertical="top" wrapText="1"/>
    </xf>
    <xf numFmtId="0" fontId="52" fillId="27" borderId="0" xfId="0" applyNumberFormat="1" applyFont="1" applyFill="1" applyBorder="1" applyAlignment="1">
      <alignment horizontal="left" vertical="top"/>
    </xf>
    <xf numFmtId="0" fontId="52" fillId="0" borderId="53" xfId="0" applyNumberFormat="1" applyFont="1" applyBorder="1" applyAlignment="1">
      <alignment horizontal="left" vertical="top"/>
    </xf>
    <xf numFmtId="0" fontId="52" fillId="0" borderId="54" xfId="0" applyNumberFormat="1" applyFont="1" applyBorder="1" applyAlignment="1">
      <alignment horizontal="left" vertical="top"/>
    </xf>
    <xf numFmtId="0" fontId="52" fillId="0" borderId="2" xfId="0" applyNumberFormat="1" applyFont="1" applyBorder="1"/>
    <xf numFmtId="0" fontId="52" fillId="0" borderId="3" xfId="0" applyFont="1" applyBorder="1" applyAlignment="1">
      <alignment wrapText="1"/>
    </xf>
    <xf numFmtId="0" fontId="52" fillId="0" borderId="3" xfId="0" applyNumberFormat="1" applyFont="1" applyBorder="1"/>
    <xf numFmtId="0" fontId="52" fillId="30" borderId="3" xfId="0" applyFont="1" applyFill="1" applyBorder="1" applyAlignment="1">
      <alignment wrapText="1"/>
    </xf>
    <xf numFmtId="0" fontId="52" fillId="0" borderId="4" xfId="0" applyFont="1" applyBorder="1" applyAlignment="1">
      <alignment wrapText="1"/>
    </xf>
    <xf numFmtId="0" fontId="52" fillId="0" borderId="5" xfId="0" applyNumberFormat="1" applyFont="1" applyBorder="1"/>
    <xf numFmtId="0" fontId="52" fillId="0" borderId="0" xfId="0" applyFont="1" applyBorder="1" applyAlignment="1">
      <alignment wrapText="1"/>
    </xf>
    <xf numFmtId="0" fontId="52" fillId="0" borderId="0" xfId="0" applyNumberFormat="1" applyFont="1" applyBorder="1"/>
    <xf numFmtId="0" fontId="52" fillId="0" borderId="0" xfId="0" applyNumberFormat="1" applyFont="1" applyBorder="1" applyAlignment="1">
      <alignment wrapText="1"/>
    </xf>
    <xf numFmtId="0" fontId="52" fillId="0" borderId="6" xfId="0" applyFont="1" applyBorder="1" applyAlignment="1">
      <alignment wrapText="1"/>
    </xf>
    <xf numFmtId="10" fontId="52" fillId="30" borderId="1" xfId="0" applyNumberFormat="1" applyFont="1" applyFill="1" applyBorder="1" applyAlignment="1">
      <alignment wrapText="1"/>
    </xf>
    <xf numFmtId="0" fontId="52" fillId="0" borderId="5" xfId="0" applyFont="1" applyBorder="1" applyAlignment="1">
      <alignment wrapText="1"/>
    </xf>
    <xf numFmtId="0" fontId="52" fillId="0" borderId="6" xfId="0" applyNumberFormat="1" applyFont="1" applyBorder="1" applyAlignment="1">
      <alignment horizontal="left" vertical="top"/>
    </xf>
    <xf numFmtId="0" fontId="52" fillId="0" borderId="0" xfId="0" applyNumberFormat="1" applyFont="1" applyBorder="1" applyAlignment="1">
      <alignment vertical="top" wrapText="1"/>
    </xf>
    <xf numFmtId="0" fontId="52" fillId="0" borderId="5" xfId="10" applyNumberFormat="1" applyFont="1" applyFill="1" applyBorder="1" applyAlignment="1">
      <alignment horizontal="center" wrapText="1"/>
    </xf>
    <xf numFmtId="0" fontId="52" fillId="0" borderId="7" xfId="0" applyFont="1" applyBorder="1" applyAlignment="1">
      <alignment wrapText="1"/>
    </xf>
    <xf numFmtId="0" fontId="52" fillId="0" borderId="8" xfId="0" applyFont="1" applyBorder="1" applyAlignment="1">
      <alignment wrapText="1"/>
    </xf>
    <xf numFmtId="0" fontId="52" fillId="0" borderId="8" xfId="0" applyNumberFormat="1" applyFont="1" applyBorder="1"/>
    <xf numFmtId="0" fontId="52" fillId="0" borderId="8" xfId="0" applyNumberFormat="1" applyFont="1" applyBorder="1" applyAlignment="1">
      <alignment horizontal="left" vertical="top"/>
    </xf>
    <xf numFmtId="0" fontId="52" fillId="0" borderId="9" xfId="0" applyFont="1" applyBorder="1" applyAlignment="1">
      <alignment wrapText="1"/>
    </xf>
    <xf numFmtId="0" fontId="52" fillId="0" borderId="38" xfId="10" applyNumberFormat="1" applyFont="1" applyFill="1" applyBorder="1" applyAlignment="1">
      <alignment horizontal="center" wrapText="1"/>
    </xf>
    <xf numFmtId="0" fontId="52" fillId="0" borderId="38" xfId="10" applyNumberFormat="1" applyFont="1" applyFill="1" applyBorder="1" applyAlignment="1">
      <alignment wrapText="1"/>
    </xf>
    <xf numFmtId="0" fontId="52" fillId="0" borderId="35" xfId="0" applyNumberFormat="1" applyFont="1" applyBorder="1" applyAlignment="1">
      <alignment horizontal="left" vertical="top"/>
    </xf>
    <xf numFmtId="0" fontId="52" fillId="0" borderId="39" xfId="10" applyNumberFormat="1" applyFont="1" applyFill="1" applyBorder="1" applyAlignment="1">
      <alignment horizontal="center" wrapText="1"/>
    </xf>
    <xf numFmtId="0" fontId="52" fillId="0" borderId="40" xfId="10" applyNumberFormat="1" applyFont="1" applyFill="1" applyBorder="1" applyAlignment="1">
      <alignment wrapText="1"/>
    </xf>
    <xf numFmtId="0" fontId="52" fillId="0" borderId="0" xfId="0" applyNumberFormat="1" applyFont="1" applyFill="1" applyBorder="1" applyAlignment="1">
      <alignment horizontal="center" wrapText="1"/>
    </xf>
    <xf numFmtId="0" fontId="52" fillId="27" borderId="1" xfId="0" applyNumberFormat="1" applyFont="1" applyFill="1" applyBorder="1" applyAlignment="1">
      <alignment horizontal="left" vertical="top"/>
    </xf>
    <xf numFmtId="0" fontId="52" fillId="0" borderId="47" xfId="10" applyNumberFormat="1" applyFont="1" applyBorder="1"/>
    <xf numFmtId="0" fontId="52" fillId="0" borderId="0" xfId="10" applyNumberFormat="1" applyFont="1" applyFill="1" applyBorder="1" applyAlignment="1">
      <alignment horizontal="center" wrapText="1"/>
    </xf>
    <xf numFmtId="0" fontId="52" fillId="0" borderId="49" xfId="0" applyNumberFormat="1" applyFont="1" applyBorder="1" applyAlignment="1">
      <alignment horizontal="left" vertical="top"/>
    </xf>
    <xf numFmtId="0" fontId="52" fillId="0" borderId="22" xfId="10" applyNumberFormat="1" applyFont="1" applyFill="1" applyBorder="1" applyAlignment="1">
      <alignment horizontal="center" wrapText="1"/>
    </xf>
    <xf numFmtId="0" fontId="52" fillId="0" borderId="22" xfId="10" applyNumberFormat="1" applyFont="1" applyFill="1" applyBorder="1" applyAlignment="1">
      <alignment wrapText="1"/>
    </xf>
    <xf numFmtId="0" fontId="52" fillId="0" borderId="22" xfId="0" applyNumberFormat="1" applyFont="1" applyBorder="1" applyAlignment="1">
      <alignment horizontal="left" vertical="top"/>
    </xf>
    <xf numFmtId="0" fontId="52" fillId="0" borderId="50" xfId="0" applyNumberFormat="1" applyFont="1" applyBorder="1" applyAlignment="1">
      <alignment horizontal="left" vertical="top"/>
    </xf>
    <xf numFmtId="9" fontId="52" fillId="27" borderId="31" xfId="1" applyFont="1" applyFill="1" applyBorder="1" applyAlignment="1">
      <alignment horizontal="left" vertical="top"/>
    </xf>
    <xf numFmtId="0" fontId="52" fillId="0" borderId="0" xfId="10" applyNumberFormat="1" applyFont="1" applyFill="1" applyBorder="1"/>
    <xf numFmtId="0" fontId="52" fillId="0" borderId="0" xfId="0" applyNumberFormat="1" applyFont="1" applyBorder="1" applyAlignment="1">
      <alignment horizontal="center" vertical="top" wrapText="1"/>
    </xf>
    <xf numFmtId="0" fontId="52" fillId="0" borderId="33" xfId="0" applyNumberFormat="1" applyFont="1" applyFill="1" applyBorder="1" applyAlignment="1">
      <alignment horizontal="left" vertical="top"/>
    </xf>
    <xf numFmtId="0" fontId="52" fillId="0" borderId="32" xfId="0" applyNumberFormat="1" applyFont="1" applyBorder="1" applyAlignment="1">
      <alignment horizontal="center" vertical="top" wrapText="1"/>
    </xf>
    <xf numFmtId="0" fontId="68" fillId="0" borderId="42" xfId="0" applyFont="1" applyFill="1" applyBorder="1" applyAlignment="1">
      <alignment horizontal="center" vertical="top" wrapText="1"/>
    </xf>
    <xf numFmtId="0" fontId="43" fillId="9" borderId="0" xfId="0" applyFont="1" applyFill="1"/>
    <xf numFmtId="0" fontId="43" fillId="52" borderId="1" xfId="0" applyFont="1" applyFill="1" applyBorder="1"/>
    <xf numFmtId="169" fontId="43" fillId="52" borderId="1" xfId="0" applyNumberFormat="1" applyFont="1" applyFill="1" applyBorder="1"/>
    <xf numFmtId="169" fontId="83" fillId="52" borderId="1" xfId="0" applyNumberFormat="1" applyFont="1" applyFill="1" applyBorder="1"/>
    <xf numFmtId="0" fontId="43" fillId="13" borderId="1" xfId="0" applyFont="1" applyFill="1" applyBorder="1"/>
    <xf numFmtId="0" fontId="43" fillId="34" borderId="1" xfId="0" applyFont="1" applyFill="1" applyBorder="1"/>
    <xf numFmtId="0" fontId="52" fillId="13" borderId="1" xfId="0" applyFont="1" applyFill="1" applyBorder="1"/>
    <xf numFmtId="0" fontId="52" fillId="50" borderId="1" xfId="0" applyFont="1" applyFill="1" applyBorder="1"/>
    <xf numFmtId="0" fontId="73" fillId="13" borderId="1" xfId="0" applyFont="1" applyFill="1" applyBorder="1"/>
    <xf numFmtId="0" fontId="73" fillId="50" borderId="1" xfId="0" applyFont="1" applyFill="1" applyBorder="1"/>
    <xf numFmtId="169" fontId="60" fillId="13" borderId="1" xfId="0" applyNumberFormat="1" applyFont="1" applyFill="1" applyBorder="1"/>
    <xf numFmtId="0" fontId="60" fillId="13" borderId="1" xfId="0" applyFont="1" applyFill="1" applyBorder="1"/>
    <xf numFmtId="169" fontId="51" fillId="13" borderId="1" xfId="0" applyNumberFormat="1" applyFont="1" applyFill="1" applyBorder="1"/>
    <xf numFmtId="169" fontId="43" fillId="13" borderId="1" xfId="0" applyNumberFormat="1" applyFont="1" applyFill="1" applyBorder="1"/>
    <xf numFmtId="169" fontId="52" fillId="13" borderId="1" xfId="0" applyNumberFormat="1" applyFont="1" applyFill="1" applyBorder="1"/>
    <xf numFmtId="169" fontId="28" fillId="13" borderId="1" xfId="0" applyNumberFormat="1" applyFont="1" applyFill="1" applyBorder="1"/>
    <xf numFmtId="169" fontId="43" fillId="34" borderId="1" xfId="0" applyNumberFormat="1" applyFont="1" applyFill="1" applyBorder="1"/>
    <xf numFmtId="0" fontId="80" fillId="14" borderId="1" xfId="0" applyFont="1" applyFill="1" applyBorder="1"/>
    <xf numFmtId="0" fontId="43" fillId="14" borderId="1" xfId="0" applyFont="1" applyFill="1" applyBorder="1"/>
    <xf numFmtId="169" fontId="43" fillId="14" borderId="1" xfId="0" applyNumberFormat="1" applyFont="1" applyFill="1" applyBorder="1"/>
    <xf numFmtId="169" fontId="43" fillId="2" borderId="1" xfId="0" applyNumberFormat="1" applyFont="1" applyFill="1" applyBorder="1"/>
    <xf numFmtId="169" fontId="60" fillId="14" borderId="1" xfId="0" applyNumberFormat="1" applyFont="1" applyFill="1" applyBorder="1"/>
    <xf numFmtId="9" fontId="43" fillId="2" borderId="1" xfId="0" applyNumberFormat="1" applyFont="1" applyFill="1" applyBorder="1"/>
    <xf numFmtId="9" fontId="43" fillId="2" borderId="1" xfId="1" applyFont="1" applyFill="1" applyBorder="1"/>
    <xf numFmtId="169" fontId="52" fillId="51" borderId="1" xfId="0" applyNumberFormat="1" applyFont="1" applyFill="1" applyBorder="1"/>
    <xf numFmtId="169" fontId="52" fillId="50" borderId="1" xfId="0" applyNumberFormat="1" applyFont="1" applyFill="1" applyBorder="1" applyAlignment="1" applyProtection="1">
      <protection locked="0"/>
    </xf>
    <xf numFmtId="10" fontId="49" fillId="51" borderId="1" xfId="1" applyNumberFormat="1" applyFont="1" applyFill="1" applyBorder="1"/>
    <xf numFmtId="9" fontId="52" fillId="50" borderId="1" xfId="1" applyFont="1" applyFill="1" applyBorder="1" applyAlignment="1" applyProtection="1">
      <protection locked="0"/>
    </xf>
    <xf numFmtId="169" fontId="51" fillId="51" borderId="1" xfId="0" applyNumberFormat="1" applyFont="1" applyFill="1" applyBorder="1" applyAlignment="1" applyProtection="1">
      <alignment horizontal="left" vertical="center"/>
      <protection locked="0"/>
    </xf>
    <xf numFmtId="169" fontId="51" fillId="51" borderId="1" xfId="0" applyNumberFormat="1" applyFont="1" applyFill="1" applyBorder="1" applyAlignment="1" applyProtection="1">
      <protection locked="0"/>
    </xf>
    <xf numFmtId="9" fontId="52" fillId="51" borderId="1" xfId="1" applyFont="1" applyFill="1" applyBorder="1"/>
    <xf numFmtId="0" fontId="27" fillId="0" borderId="0" xfId="0" applyNumberFormat="1" applyFont="1" applyAlignment="1">
      <alignment horizontal="left" vertical="center"/>
    </xf>
    <xf numFmtId="0" fontId="26" fillId="0" borderId="0" xfId="0" applyNumberFormat="1" applyFont="1" applyAlignment="1">
      <alignment horizontal="left" vertical="center"/>
    </xf>
    <xf numFmtId="0" fontId="27" fillId="0" borderId="0" xfId="0" applyNumberFormat="1" applyFont="1" applyAlignment="1">
      <alignment vertical="center"/>
    </xf>
    <xf numFmtId="0" fontId="43" fillId="0" borderId="0" xfId="0" applyNumberFormat="1" applyFont="1" applyAlignment="1">
      <alignment vertical="center"/>
    </xf>
    <xf numFmtId="0" fontId="27" fillId="0" borderId="0" xfId="0" applyNumberFormat="1" applyFont="1" applyBorder="1" applyAlignment="1">
      <alignment horizontal="left" vertical="center"/>
    </xf>
    <xf numFmtId="169" fontId="52" fillId="30" borderId="1" xfId="0" applyNumberFormat="1" applyFont="1" applyFill="1" applyBorder="1" applyAlignment="1">
      <alignment vertical="center"/>
    </xf>
    <xf numFmtId="0" fontId="35" fillId="0" borderId="0" xfId="0" applyNumberFormat="1" applyFont="1" applyBorder="1" applyAlignment="1">
      <alignment horizontal="left" vertical="center"/>
    </xf>
    <xf numFmtId="0" fontId="27" fillId="0" borderId="39" xfId="0" applyNumberFormat="1" applyFont="1" applyBorder="1" applyAlignment="1">
      <alignment horizontal="left" vertical="center"/>
    </xf>
    <xf numFmtId="0" fontId="27" fillId="0" borderId="40" xfId="0" applyNumberFormat="1" applyFont="1" applyBorder="1" applyAlignment="1">
      <alignment horizontal="left" vertical="center"/>
    </xf>
    <xf numFmtId="0" fontId="27" fillId="0" borderId="41" xfId="0" applyNumberFormat="1" applyFont="1" applyBorder="1" applyAlignment="1">
      <alignment horizontal="left" vertical="center"/>
    </xf>
    <xf numFmtId="0" fontId="27" fillId="0" borderId="32" xfId="0" applyNumberFormat="1" applyFont="1" applyBorder="1" applyAlignment="1">
      <alignment horizontal="center" vertical="center" wrapText="1"/>
    </xf>
    <xf numFmtId="0" fontId="27" fillId="0" borderId="0" xfId="0" applyNumberFormat="1" applyFont="1" applyBorder="1" applyAlignment="1">
      <alignment vertical="center" wrapText="1"/>
    </xf>
    <xf numFmtId="0" fontId="36" fillId="0" borderId="0" xfId="0" applyNumberFormat="1" applyFont="1" applyBorder="1" applyAlignment="1">
      <alignment horizontal="left" vertical="center"/>
    </xf>
    <xf numFmtId="0" fontId="27" fillId="27" borderId="42" xfId="0" applyNumberFormat="1" applyFont="1" applyFill="1" applyBorder="1" applyAlignment="1">
      <alignment horizontal="left" vertical="center"/>
    </xf>
    <xf numFmtId="0" fontId="27" fillId="0" borderId="33" xfId="0" applyNumberFormat="1" applyFont="1" applyBorder="1" applyAlignment="1">
      <alignment horizontal="left" vertical="center"/>
    </xf>
    <xf numFmtId="0" fontId="27" fillId="27" borderId="43" xfId="0" applyNumberFormat="1" applyFont="1" applyFill="1" applyBorder="1" applyAlignment="1">
      <alignment horizontal="left" vertical="center"/>
    </xf>
    <xf numFmtId="0" fontId="27" fillId="0" borderId="32" xfId="0" applyNumberFormat="1" applyFont="1" applyBorder="1" applyAlignment="1">
      <alignment horizontal="left" vertical="center"/>
    </xf>
    <xf numFmtId="0" fontId="27" fillId="0" borderId="0" xfId="0" applyNumberFormat="1" applyFont="1" applyBorder="1" applyAlignment="1">
      <alignment horizontal="center" vertical="center" wrapText="1"/>
    </xf>
    <xf numFmtId="0" fontId="27" fillId="0" borderId="32" xfId="10" applyNumberFormat="1" applyFont="1" applyFill="1" applyBorder="1" applyAlignment="1">
      <alignment horizontal="center" vertical="center" wrapText="1"/>
    </xf>
    <xf numFmtId="0" fontId="27" fillId="0" borderId="0" xfId="10" applyNumberFormat="1" applyFont="1" applyFill="1" applyBorder="1" applyAlignment="1">
      <alignment vertical="center" wrapText="1"/>
    </xf>
    <xf numFmtId="0" fontId="27" fillId="27" borderId="44" xfId="0" applyNumberFormat="1" applyFont="1" applyFill="1" applyBorder="1" applyAlignment="1">
      <alignment horizontal="left" vertical="center"/>
    </xf>
    <xf numFmtId="0" fontId="27" fillId="27" borderId="31"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27" fillId="0" borderId="34" xfId="0" applyNumberFormat="1" applyFont="1" applyBorder="1" applyAlignment="1">
      <alignment horizontal="left" vertical="center"/>
    </xf>
    <xf numFmtId="0" fontId="27" fillId="0" borderId="38" xfId="0" applyNumberFormat="1" applyFont="1" applyBorder="1" applyAlignment="1">
      <alignment horizontal="left" vertical="center"/>
    </xf>
    <xf numFmtId="0" fontId="27" fillId="0" borderId="35" xfId="0" applyNumberFormat="1" applyFont="1" applyBorder="1" applyAlignment="1">
      <alignment horizontal="left" vertical="center"/>
    </xf>
    <xf numFmtId="0" fontId="35" fillId="0" borderId="0" xfId="0" applyNumberFormat="1" applyFont="1" applyAlignment="1">
      <alignment vertical="center"/>
    </xf>
    <xf numFmtId="0" fontId="27" fillId="0" borderId="0" xfId="0" applyNumberFormat="1" applyFont="1" applyFill="1" applyBorder="1" applyAlignment="1">
      <alignment horizontal="left" vertical="center"/>
    </xf>
    <xf numFmtId="0" fontId="27" fillId="0" borderId="32" xfId="10" applyNumberFormat="1" applyFont="1" applyFill="1" applyBorder="1" applyAlignment="1">
      <alignment horizontal="left" vertical="center"/>
    </xf>
    <xf numFmtId="0" fontId="27" fillId="0" borderId="0" xfId="0" applyNumberFormat="1" applyFont="1" applyAlignment="1">
      <alignment vertical="center" wrapText="1"/>
    </xf>
    <xf numFmtId="0" fontId="27" fillId="0" borderId="32" xfId="0" applyNumberFormat="1" applyFont="1" applyBorder="1" applyAlignment="1">
      <alignment vertical="center" wrapText="1"/>
    </xf>
    <xf numFmtId="0" fontId="27" fillId="0" borderId="38" xfId="0" applyNumberFormat="1" applyFont="1" applyBorder="1" applyAlignment="1">
      <alignment horizontal="center" vertical="center" wrapText="1"/>
    </xf>
    <xf numFmtId="0" fontId="27" fillId="0" borderId="38" xfId="0" applyNumberFormat="1" applyFont="1" applyBorder="1" applyAlignment="1">
      <alignment vertical="center" wrapText="1"/>
    </xf>
    <xf numFmtId="0" fontId="46" fillId="0" borderId="0" xfId="0" applyNumberFormat="1" applyFont="1" applyAlignment="1">
      <alignment horizontal="left" vertical="center"/>
    </xf>
    <xf numFmtId="0" fontId="27" fillId="27" borderId="31" xfId="13" applyNumberFormat="1" applyFont="1" applyFill="1" applyBorder="1" applyAlignment="1" applyProtection="1">
      <alignment horizontal="left" vertical="center"/>
    </xf>
    <xf numFmtId="0" fontId="35" fillId="0" borderId="32" xfId="0" applyNumberFormat="1" applyFont="1" applyBorder="1" applyAlignment="1">
      <alignment horizontal="left" vertical="center"/>
    </xf>
    <xf numFmtId="0" fontId="37" fillId="0" borderId="0" xfId="0" applyNumberFormat="1" applyFont="1" applyBorder="1" applyAlignment="1">
      <alignment horizontal="left" vertical="center"/>
    </xf>
    <xf numFmtId="9" fontId="27" fillId="27" borderId="31" xfId="1" applyFont="1" applyFill="1" applyBorder="1" applyAlignment="1">
      <alignment horizontal="left" vertical="center"/>
    </xf>
    <xf numFmtId="0" fontId="27" fillId="0" borderId="32" xfId="10" applyNumberFormat="1" applyFont="1" applyFill="1" applyBorder="1" applyAlignment="1">
      <alignment horizontal="center" vertical="center"/>
    </xf>
    <xf numFmtId="0" fontId="27" fillId="0" borderId="0" xfId="10" applyNumberFormat="1" applyFont="1" applyFill="1" applyBorder="1" applyAlignment="1">
      <alignment vertical="center"/>
    </xf>
    <xf numFmtId="0" fontId="27" fillId="0" borderId="0" xfId="10" applyNumberFormat="1" applyFont="1" applyFill="1" applyBorder="1" applyAlignment="1">
      <alignment horizontal="center" vertical="center"/>
    </xf>
    <xf numFmtId="0" fontId="27" fillId="0" borderId="38" xfId="0" applyNumberFormat="1" applyFont="1" applyBorder="1" applyAlignment="1">
      <alignment vertical="center"/>
    </xf>
    <xf numFmtId="169" fontId="52" fillId="0" borderId="0" xfId="0" applyNumberFormat="1" applyFont="1" applyBorder="1" applyAlignment="1">
      <alignment vertical="center"/>
    </xf>
    <xf numFmtId="0" fontId="52" fillId="0" borderId="0" xfId="0" applyFont="1" applyBorder="1" applyAlignment="1">
      <alignment vertical="center"/>
    </xf>
    <xf numFmtId="169" fontId="52" fillId="4" borderId="0" xfId="0" applyNumberFormat="1" applyFont="1" applyFill="1" applyBorder="1" applyAlignment="1">
      <alignment vertical="center"/>
    </xf>
    <xf numFmtId="169" fontId="52" fillId="0" borderId="0" xfId="0" applyNumberFormat="1" applyFont="1" applyFill="1" applyBorder="1" applyAlignment="1">
      <alignment vertical="center"/>
    </xf>
    <xf numFmtId="0" fontId="27" fillId="0" borderId="0" xfId="0" applyNumberFormat="1" applyFont="1" applyBorder="1" applyAlignment="1">
      <alignment vertical="center"/>
    </xf>
    <xf numFmtId="169" fontId="73" fillId="0" borderId="0" xfId="0" applyNumberFormat="1" applyFont="1" applyFill="1" applyBorder="1" applyAlignment="1">
      <alignment vertical="center"/>
    </xf>
    <xf numFmtId="0" fontId="52" fillId="0" borderId="0" xfId="0" applyNumberFormat="1" applyFont="1" applyBorder="1" applyAlignment="1">
      <alignment vertical="center"/>
    </xf>
    <xf numFmtId="0" fontId="52" fillId="53" borderId="0" xfId="0" applyFont="1" applyFill="1" applyBorder="1" applyAlignment="1">
      <alignment vertical="center"/>
    </xf>
    <xf numFmtId="0" fontId="52" fillId="0" borderId="0" xfId="0" applyFont="1" applyFill="1" applyBorder="1" applyAlignment="1">
      <alignment vertical="center"/>
    </xf>
    <xf numFmtId="0" fontId="52" fillId="0" borderId="45" xfId="0" applyFont="1" applyBorder="1" applyAlignment="1">
      <alignment horizontal="left" vertical="center"/>
    </xf>
    <xf numFmtId="0" fontId="52" fillId="0" borderId="23" xfId="0" applyFont="1" applyBorder="1" applyAlignment="1">
      <alignment horizontal="center" vertical="center"/>
    </xf>
    <xf numFmtId="0" fontId="52" fillId="0" borderId="46" xfId="0" applyFont="1" applyBorder="1" applyAlignment="1">
      <alignment horizontal="center" vertical="center"/>
    </xf>
    <xf numFmtId="169" fontId="52" fillId="0" borderId="47" xfId="0" applyNumberFormat="1" applyFont="1" applyBorder="1" applyAlignment="1">
      <alignment vertical="center"/>
    </xf>
    <xf numFmtId="169" fontId="52" fillId="4" borderId="47" xfId="0" applyNumberFormat="1" applyFont="1" applyFill="1" applyBorder="1" applyAlignment="1">
      <alignment vertical="center"/>
    </xf>
    <xf numFmtId="169" fontId="52" fillId="4" borderId="48" xfId="0" applyNumberFormat="1" applyFont="1" applyFill="1" applyBorder="1" applyAlignment="1">
      <alignment vertical="center"/>
    </xf>
    <xf numFmtId="169" fontId="52" fillId="0" borderId="48" xfId="0" applyNumberFormat="1" applyFont="1" applyFill="1" applyBorder="1" applyAlignment="1">
      <alignment vertical="center"/>
    </xf>
    <xf numFmtId="169" fontId="52" fillId="0" borderId="47" xfId="0" applyNumberFormat="1" applyFont="1" applyFill="1" applyBorder="1" applyAlignment="1">
      <alignment vertical="center"/>
    </xf>
    <xf numFmtId="169" fontId="52" fillId="0" borderId="48" xfId="0" applyNumberFormat="1" applyFont="1" applyBorder="1" applyAlignment="1">
      <alignment vertical="center"/>
    </xf>
    <xf numFmtId="169" fontId="52" fillId="53" borderId="47" xfId="0" applyNumberFormat="1" applyFont="1" applyFill="1" applyBorder="1" applyAlignment="1">
      <alignment vertical="center"/>
    </xf>
    <xf numFmtId="0" fontId="52" fillId="53" borderId="48" xfId="0" applyFont="1" applyFill="1" applyBorder="1" applyAlignment="1">
      <alignment vertical="center"/>
    </xf>
    <xf numFmtId="0" fontId="73" fillId="0" borderId="22" xfId="0" applyFont="1" applyFill="1" applyBorder="1" applyAlignment="1">
      <alignment vertical="center"/>
    </xf>
    <xf numFmtId="169" fontId="73" fillId="0" borderId="22" xfId="0" applyNumberFormat="1" applyFont="1" applyFill="1" applyBorder="1" applyAlignment="1">
      <alignment vertical="center"/>
    </xf>
    <xf numFmtId="0" fontId="52" fillId="30" borderId="1" xfId="0" applyFont="1" applyFill="1" applyBorder="1" applyAlignment="1">
      <alignment vertical="center"/>
    </xf>
    <xf numFmtId="169" fontId="28" fillId="0" borderId="47" xfId="0" applyNumberFormat="1" applyFont="1" applyFill="1" applyBorder="1" applyAlignment="1">
      <alignment vertical="center"/>
    </xf>
    <xf numFmtId="169" fontId="28" fillId="0" borderId="0" xfId="0" applyNumberFormat="1" applyFont="1" applyFill="1" applyBorder="1" applyAlignment="1">
      <alignment vertical="center"/>
    </xf>
    <xf numFmtId="169" fontId="28" fillId="0" borderId="48" xfId="0" applyNumberFormat="1" applyFont="1" applyFill="1" applyBorder="1" applyAlignment="1">
      <alignment vertical="center"/>
    </xf>
    <xf numFmtId="169" fontId="30" fillId="0" borderId="47" xfId="0" applyNumberFormat="1" applyFont="1" applyFill="1" applyBorder="1" applyAlignment="1">
      <alignment vertical="center"/>
    </xf>
    <xf numFmtId="169" fontId="30" fillId="0" borderId="48" xfId="0" applyNumberFormat="1" applyFont="1" applyFill="1" applyBorder="1" applyAlignment="1">
      <alignment vertical="center"/>
    </xf>
    <xf numFmtId="169" fontId="30" fillId="0" borderId="49" xfId="0" applyNumberFormat="1" applyFont="1" applyFill="1" applyBorder="1" applyAlignment="1">
      <alignment vertical="center"/>
    </xf>
    <xf numFmtId="169" fontId="30" fillId="0" borderId="50" xfId="0" applyNumberFormat="1" applyFont="1" applyFill="1" applyBorder="1" applyAlignment="1">
      <alignment vertical="center"/>
    </xf>
    <xf numFmtId="169" fontId="43" fillId="52" borderId="1" xfId="1" applyNumberFormat="1" applyFont="1" applyFill="1" applyBorder="1"/>
    <xf numFmtId="169" fontId="60" fillId="52" borderId="1" xfId="0" applyNumberFormat="1" applyFont="1" applyFill="1" applyBorder="1"/>
    <xf numFmtId="169" fontId="52" fillId="2" borderId="1" xfId="0" applyNumberFormat="1" applyFont="1" applyFill="1" applyBorder="1"/>
    <xf numFmtId="0" fontId="52" fillId="2" borderId="1" xfId="0" applyFont="1" applyFill="1" applyBorder="1" applyAlignment="1">
      <alignment horizontal="right"/>
    </xf>
    <xf numFmtId="0" fontId="52" fillId="36" borderId="1" xfId="0" applyFont="1" applyFill="1" applyBorder="1" applyAlignment="1">
      <alignment horizontal="right"/>
    </xf>
    <xf numFmtId="0" fontId="49" fillId="9" borderId="0" xfId="0" applyFont="1" applyFill="1"/>
    <xf numFmtId="0" fontId="89" fillId="9" borderId="0" xfId="0" applyFont="1" applyFill="1"/>
    <xf numFmtId="169" fontId="91" fillId="52" borderId="0" xfId="0" applyNumberFormat="1" applyFont="1" applyFill="1" applyBorder="1"/>
    <xf numFmtId="0" fontId="91" fillId="52" borderId="0" xfId="0" applyFont="1" applyFill="1" applyBorder="1"/>
    <xf numFmtId="169" fontId="90" fillId="52" borderId="0" xfId="0" applyNumberFormat="1" applyFont="1" applyFill="1" applyBorder="1" applyAlignment="1"/>
    <xf numFmtId="169" fontId="49" fillId="52" borderId="0" xfId="0" applyNumberFormat="1" applyFont="1" applyFill="1" applyBorder="1" applyAlignment="1"/>
    <xf numFmtId="0" fontId="30" fillId="34" borderId="1" xfId="0" applyFont="1" applyFill="1" applyBorder="1"/>
    <xf numFmtId="169" fontId="28" fillId="34" borderId="1" xfId="0" applyNumberFormat="1" applyFont="1" applyFill="1" applyBorder="1"/>
    <xf numFmtId="0" fontId="26" fillId="9" borderId="0" xfId="0" applyFont="1" applyFill="1"/>
    <xf numFmtId="0" fontId="43" fillId="39" borderId="2" xfId="0" applyFont="1" applyFill="1" applyBorder="1"/>
    <xf numFmtId="0" fontId="43" fillId="39" borderId="3" xfId="0" applyFont="1" applyFill="1" applyBorder="1"/>
    <xf numFmtId="0" fontId="43" fillId="39" borderId="4" xfId="0" applyFont="1" applyFill="1" applyBorder="1"/>
    <xf numFmtId="0" fontId="43" fillId="39" borderId="5" xfId="0" applyFont="1" applyFill="1" applyBorder="1"/>
    <xf numFmtId="0" fontId="43" fillId="39" borderId="0" xfId="0" applyFont="1" applyFill="1" applyBorder="1"/>
    <xf numFmtId="0" fontId="43" fillId="39" borderId="6" xfId="0" applyFont="1" applyFill="1" applyBorder="1"/>
    <xf numFmtId="169" fontId="88" fillId="39" borderId="5" xfId="0" applyNumberFormat="1" applyFont="1" applyFill="1" applyBorder="1" applyAlignment="1">
      <alignment horizontal="left"/>
    </xf>
    <xf numFmtId="0" fontId="28" fillId="39" borderId="5" xfId="0" applyFont="1" applyFill="1" applyBorder="1"/>
    <xf numFmtId="0" fontId="28" fillId="39" borderId="0" xfId="0" applyFont="1" applyFill="1" applyBorder="1"/>
    <xf numFmtId="0" fontId="52" fillId="39" borderId="5" xfId="0" applyFont="1" applyFill="1" applyBorder="1"/>
    <xf numFmtId="0" fontId="52" fillId="39" borderId="0" xfId="0" applyFont="1" applyFill="1" applyBorder="1"/>
    <xf numFmtId="0" fontId="43" fillId="39" borderId="7" xfId="0" applyFont="1" applyFill="1" applyBorder="1"/>
    <xf numFmtId="0" fontId="43" fillId="39" borderId="8" xfId="0" applyFont="1" applyFill="1" applyBorder="1"/>
    <xf numFmtId="0" fontId="43" fillId="39" borderId="9" xfId="0" applyFont="1" applyFill="1" applyBorder="1"/>
    <xf numFmtId="0" fontId="80" fillId="2" borderId="1" xfId="0" applyFont="1" applyFill="1" applyBorder="1"/>
    <xf numFmtId="0" fontId="43" fillId="54" borderId="1" xfId="0" applyFont="1" applyFill="1" applyBorder="1"/>
    <xf numFmtId="0" fontId="80" fillId="54" borderId="1" xfId="0" applyFont="1" applyFill="1" applyBorder="1"/>
    <xf numFmtId="0" fontId="43" fillId="54" borderId="0" xfId="0" applyFont="1" applyFill="1"/>
    <xf numFmtId="0" fontId="30" fillId="54" borderId="1" xfId="0" applyFont="1" applyFill="1" applyBorder="1"/>
    <xf numFmtId="0" fontId="43" fillId="35" borderId="0" xfId="0" applyFont="1" applyFill="1" applyBorder="1"/>
    <xf numFmtId="0" fontId="92" fillId="35" borderId="0" xfId="0" applyFont="1" applyFill="1" applyBorder="1" applyAlignment="1">
      <alignment horizontal="center"/>
    </xf>
    <xf numFmtId="0" fontId="92" fillId="57" borderId="0" xfId="0" applyFont="1" applyFill="1" applyBorder="1" applyAlignment="1">
      <alignment horizontal="center"/>
    </xf>
    <xf numFmtId="0" fontId="92" fillId="59" borderId="0" xfId="0" applyFont="1" applyFill="1" applyBorder="1" applyAlignment="1">
      <alignment horizontal="center"/>
    </xf>
    <xf numFmtId="169" fontId="92" fillId="35" borderId="5" xfId="14" applyNumberFormat="1" applyFont="1" applyFill="1" applyBorder="1" applyAlignment="1"/>
    <xf numFmtId="169" fontId="93" fillId="35" borderId="5" xfId="14" applyNumberFormat="1" applyFont="1" applyFill="1" applyBorder="1" applyAlignment="1"/>
    <xf numFmtId="169" fontId="93" fillId="35" borderId="5" xfId="14" applyNumberFormat="1" applyFont="1" applyFill="1" applyBorder="1" applyAlignment="1">
      <alignment horizontal="left" vertical="top"/>
    </xf>
    <xf numFmtId="169" fontId="92" fillId="35" borderId="5" xfId="14" applyNumberFormat="1" applyFont="1" applyFill="1" applyBorder="1" applyAlignment="1">
      <alignment horizontal="left" vertical="top"/>
    </xf>
    <xf numFmtId="0" fontId="38" fillId="58" borderId="5" xfId="0" applyNumberFormat="1" applyFont="1" applyFill="1" applyBorder="1" applyAlignment="1" applyProtection="1">
      <alignment horizontal="left"/>
    </xf>
    <xf numFmtId="169" fontId="93" fillId="56" borderId="5" xfId="14" applyNumberFormat="1" applyFont="1" applyFill="1" applyBorder="1" applyAlignment="1"/>
    <xf numFmtId="169" fontId="92" fillId="56" borderId="5" xfId="14" applyNumberFormat="1" applyFont="1" applyFill="1" applyBorder="1" applyAlignment="1"/>
    <xf numFmtId="169" fontId="93" fillId="55" borderId="7" xfId="14" applyNumberFormat="1" applyFont="1" applyFill="1" applyBorder="1" applyAlignment="1">
      <alignment horizontal="center"/>
    </xf>
    <xf numFmtId="169" fontId="93" fillId="57" borderId="5" xfId="14" applyNumberFormat="1" applyFont="1" applyFill="1" applyBorder="1" applyAlignment="1">
      <alignment horizontal="left" vertical="top"/>
    </xf>
    <xf numFmtId="169" fontId="93" fillId="57" borderId="5" xfId="14" applyNumberFormat="1" applyFont="1" applyFill="1" applyBorder="1" applyAlignment="1"/>
    <xf numFmtId="0" fontId="92" fillId="35" borderId="5" xfId="0" applyFont="1" applyFill="1" applyBorder="1" applyAlignment="1">
      <alignment horizontal="left"/>
    </xf>
    <xf numFmtId="0" fontId="92" fillId="35" borderId="6" xfId="0" applyFont="1" applyFill="1" applyBorder="1" applyAlignment="1">
      <alignment horizontal="center"/>
    </xf>
    <xf numFmtId="0" fontId="94" fillId="57" borderId="5" xfId="0" applyFont="1" applyFill="1" applyBorder="1"/>
    <xf numFmtId="0" fontId="94" fillId="35" borderId="5" xfId="0" applyFont="1" applyFill="1" applyBorder="1"/>
    <xf numFmtId="0" fontId="92" fillId="57" borderId="5" xfId="0" applyFont="1" applyFill="1" applyBorder="1" applyAlignment="1">
      <alignment horizontal="left"/>
    </xf>
    <xf numFmtId="0" fontId="92" fillId="57" borderId="6" xfId="0" applyFont="1" applyFill="1" applyBorder="1" applyAlignment="1">
      <alignment horizontal="center"/>
    </xf>
    <xf numFmtId="0" fontId="92" fillId="59" borderId="5" xfId="0" applyFont="1" applyFill="1" applyBorder="1" applyAlignment="1">
      <alignment horizontal="left"/>
    </xf>
    <xf numFmtId="0" fontId="92" fillId="59" borderId="6" xfId="0" applyFont="1" applyFill="1" applyBorder="1" applyAlignment="1">
      <alignment horizontal="center"/>
    </xf>
    <xf numFmtId="0" fontId="94" fillId="59" borderId="7" xfId="0" applyFont="1" applyFill="1" applyBorder="1"/>
    <xf numFmtId="169" fontId="93" fillId="35" borderId="0" xfId="14" applyNumberFormat="1" applyFont="1" applyFill="1" applyBorder="1" applyAlignment="1">
      <alignment horizontal="center"/>
    </xf>
    <xf numFmtId="169" fontId="93" fillId="35" borderId="6" xfId="14" applyNumberFormat="1" applyFont="1" applyFill="1" applyBorder="1" applyAlignment="1">
      <alignment horizontal="center"/>
    </xf>
    <xf numFmtId="169" fontId="92" fillId="35" borderId="0" xfId="14" applyNumberFormat="1" applyFont="1" applyFill="1" applyBorder="1" applyAlignment="1">
      <alignment horizontal="center"/>
    </xf>
    <xf numFmtId="169" fontId="92" fillId="35" borderId="6" xfId="14" applyNumberFormat="1" applyFont="1" applyFill="1" applyBorder="1" applyAlignment="1">
      <alignment horizontal="center"/>
    </xf>
    <xf numFmtId="169" fontId="92" fillId="35" borderId="0" xfId="14" applyNumberFormat="1" applyFont="1" applyFill="1" applyBorder="1" applyAlignment="1">
      <alignment horizontal="center" vertical="top"/>
    </xf>
    <xf numFmtId="169" fontId="92" fillId="56" borderId="0" xfId="14" applyNumberFormat="1" applyFont="1" applyFill="1" applyBorder="1" applyAlignment="1">
      <alignment horizontal="center"/>
    </xf>
    <xf numFmtId="169" fontId="92" fillId="56" borderId="6" xfId="14" applyNumberFormat="1" applyFont="1" applyFill="1" applyBorder="1" applyAlignment="1">
      <alignment horizontal="center"/>
    </xf>
    <xf numFmtId="169" fontId="92" fillId="57" borderId="0" xfId="14" applyNumberFormat="1" applyFont="1" applyFill="1" applyBorder="1" applyAlignment="1">
      <alignment horizontal="center"/>
    </xf>
    <xf numFmtId="169" fontId="93" fillId="55" borderId="8" xfId="14" applyNumberFormat="1" applyFont="1" applyFill="1" applyBorder="1" applyAlignment="1">
      <alignment horizontal="center"/>
    </xf>
    <xf numFmtId="169" fontId="93" fillId="55" borderId="9" xfId="14" applyNumberFormat="1" applyFont="1" applyFill="1" applyBorder="1" applyAlignment="1">
      <alignment horizontal="center"/>
    </xf>
    <xf numFmtId="169" fontId="93" fillId="57" borderId="0" xfId="14" applyNumberFormat="1" applyFont="1" applyFill="1" applyBorder="1" applyAlignment="1">
      <alignment horizontal="center"/>
    </xf>
    <xf numFmtId="169" fontId="93" fillId="57" borderId="6" xfId="14" applyNumberFormat="1" applyFont="1" applyFill="1" applyBorder="1" applyAlignment="1">
      <alignment horizontal="center"/>
    </xf>
    <xf numFmtId="169" fontId="93" fillId="59" borderId="8" xfId="14" applyNumberFormat="1" applyFont="1" applyFill="1" applyBorder="1" applyAlignment="1">
      <alignment horizontal="center"/>
    </xf>
    <xf numFmtId="0" fontId="94" fillId="57" borderId="0" xfId="0" applyFont="1" applyFill="1" applyBorder="1" applyAlignment="1">
      <alignment horizontal="center"/>
    </xf>
    <xf numFmtId="0" fontId="94" fillId="57" borderId="6" xfId="0" applyFont="1" applyFill="1" applyBorder="1" applyAlignment="1">
      <alignment horizontal="center"/>
    </xf>
    <xf numFmtId="0" fontId="94" fillId="35" borderId="0" xfId="0" applyFont="1" applyFill="1" applyBorder="1" applyAlignment="1">
      <alignment horizontal="center"/>
    </xf>
    <xf numFmtId="0" fontId="94" fillId="35" borderId="6" xfId="0" applyFont="1" applyFill="1" applyBorder="1" applyAlignment="1">
      <alignment horizontal="center"/>
    </xf>
    <xf numFmtId="0" fontId="94" fillId="59" borderId="0" xfId="0" applyFont="1" applyFill="1" applyBorder="1" applyAlignment="1">
      <alignment horizontal="center"/>
    </xf>
    <xf numFmtId="0" fontId="94" fillId="59" borderId="8" xfId="0" applyFont="1" applyFill="1" applyBorder="1" applyAlignment="1">
      <alignment horizontal="center"/>
    </xf>
    <xf numFmtId="0" fontId="94" fillId="59" borderId="9" xfId="0" applyFont="1" applyFill="1" applyBorder="1" applyAlignment="1">
      <alignment horizontal="center"/>
    </xf>
    <xf numFmtId="0" fontId="43" fillId="35" borderId="0" xfId="0" applyFont="1" applyFill="1" applyBorder="1" applyAlignment="1">
      <alignment horizontal="center"/>
    </xf>
    <xf numFmtId="0" fontId="26" fillId="17" borderId="31" xfId="0" applyNumberFormat="1" applyFont="1" applyFill="1" applyBorder="1" applyAlignment="1">
      <alignment horizontal="center" shrinkToFit="1"/>
    </xf>
    <xf numFmtId="0" fontId="28" fillId="62" borderId="1" xfId="0" applyFont="1" applyFill="1" applyBorder="1" applyAlignment="1">
      <alignment horizontal="left" vertical="center" wrapText="1"/>
    </xf>
    <xf numFmtId="0" fontId="28" fillId="61" borderId="1" xfId="0" applyFont="1" applyFill="1" applyBorder="1" applyAlignment="1">
      <alignment horizontal="left" vertical="center" wrapText="1"/>
    </xf>
    <xf numFmtId="182" fontId="28" fillId="38" borderId="1" xfId="0" applyNumberFormat="1" applyFont="1" applyFill="1" applyBorder="1" applyAlignment="1">
      <alignment horizontal="left" vertical="center"/>
    </xf>
    <xf numFmtId="0" fontId="28" fillId="38" borderId="1" xfId="0" applyFont="1" applyFill="1" applyBorder="1" applyAlignment="1">
      <alignment horizontal="left" vertical="center" shrinkToFit="1"/>
    </xf>
    <xf numFmtId="167" fontId="28" fillId="38" borderId="1" xfId="0" applyNumberFormat="1" applyFont="1" applyFill="1" applyBorder="1" applyAlignment="1">
      <alignment horizontal="left" vertical="center"/>
    </xf>
    <xf numFmtId="169" fontId="52" fillId="39" borderId="1" xfId="0" applyNumberFormat="1" applyFont="1" applyFill="1" applyBorder="1" applyAlignment="1" applyProtection="1">
      <alignment horizontal="left" vertical="center" shrinkToFit="1"/>
      <protection hidden="1"/>
    </xf>
    <xf numFmtId="169" fontId="52" fillId="40" borderId="1" xfId="0" applyNumberFormat="1" applyFont="1" applyFill="1" applyBorder="1" applyAlignment="1" applyProtection="1">
      <alignment horizontal="left" vertical="center" shrinkToFit="1"/>
      <protection hidden="1"/>
    </xf>
    <xf numFmtId="167" fontId="27" fillId="21" borderId="1" xfId="0" applyNumberFormat="1" applyFont="1" applyFill="1" applyBorder="1" applyAlignment="1">
      <alignment horizontal="left" vertical="center" shrinkToFit="1"/>
    </xf>
    <xf numFmtId="0" fontId="27" fillId="60" borderId="1" xfId="10" applyNumberFormat="1" applyFont="1" applyFill="1" applyBorder="1" applyAlignment="1">
      <alignment horizontal="center" shrinkToFit="1"/>
    </xf>
    <xf numFmtId="0" fontId="27" fillId="60" borderId="1" xfId="0" applyFont="1" applyFill="1" applyBorder="1" applyAlignment="1">
      <alignment horizontal="center" shrinkToFit="1"/>
    </xf>
    <xf numFmtId="0" fontId="27" fillId="60" borderId="1" xfId="10" applyFont="1" applyFill="1" applyBorder="1" applyAlignment="1">
      <alignment horizontal="center" shrinkToFit="1"/>
    </xf>
    <xf numFmtId="0" fontId="27" fillId="40" borderId="1" xfId="0" applyFont="1" applyFill="1" applyBorder="1" applyAlignment="1">
      <alignment horizontal="center" shrinkToFit="1"/>
    </xf>
    <xf numFmtId="0" fontId="43" fillId="2" borderId="1" xfId="0" applyFont="1" applyFill="1" applyBorder="1" applyAlignment="1">
      <alignment shrinkToFit="1"/>
    </xf>
    <xf numFmtId="0" fontId="27" fillId="40" borderId="1" xfId="10" applyFont="1" applyFill="1" applyBorder="1" applyAlignment="1">
      <alignment horizontal="center" shrinkToFit="1"/>
    </xf>
    <xf numFmtId="0" fontId="26" fillId="38" borderId="0" xfId="0" applyFont="1" applyFill="1" applyBorder="1" applyAlignment="1">
      <alignment horizontal="center" vertical="top"/>
    </xf>
    <xf numFmtId="0" fontId="71" fillId="28" borderId="1" xfId="0" applyFont="1" applyFill="1" applyBorder="1" applyAlignment="1">
      <alignment horizontal="center" vertical="center"/>
    </xf>
    <xf numFmtId="0" fontId="70" fillId="28" borderId="0" xfId="0" applyFont="1" applyFill="1" applyBorder="1" applyAlignment="1">
      <alignment horizontal="center" vertical="center"/>
    </xf>
    <xf numFmtId="0" fontId="28" fillId="38" borderId="1" xfId="0" applyFont="1" applyFill="1" applyBorder="1" applyAlignment="1">
      <alignment horizontal="center" vertical="center"/>
    </xf>
    <xf numFmtId="0" fontId="43" fillId="0" borderId="0" xfId="0" applyFont="1" applyAlignment="1">
      <alignment horizontal="center" vertical="center"/>
    </xf>
    <xf numFmtId="180" fontId="27" fillId="37" borderId="0" xfId="0" applyNumberFormat="1" applyFont="1" applyFill="1" applyBorder="1" applyAlignment="1">
      <alignment horizontal="center" vertical="center" wrapText="1"/>
    </xf>
    <xf numFmtId="0" fontId="28" fillId="62" borderId="1" xfId="0" applyFont="1" applyFill="1" applyBorder="1" applyAlignment="1">
      <alignment horizontal="center" vertical="center"/>
    </xf>
    <xf numFmtId="0" fontId="52" fillId="60" borderId="1" xfId="0" applyFont="1" applyFill="1" applyBorder="1" applyAlignment="1">
      <alignment horizontal="center" shrinkToFit="1"/>
    </xf>
    <xf numFmtId="0" fontId="43" fillId="60" borderId="1" xfId="0" applyFont="1" applyFill="1" applyBorder="1" applyAlignment="1">
      <alignment horizontal="center" shrinkToFit="1"/>
    </xf>
    <xf numFmtId="0" fontId="69" fillId="38" borderId="0" xfId="0" applyFont="1" applyFill="1" applyBorder="1" applyAlignment="1">
      <alignment horizontal="center" vertical="top"/>
    </xf>
    <xf numFmtId="169" fontId="71" fillId="28" borderId="1" xfId="0" applyNumberFormat="1" applyFont="1" applyFill="1" applyBorder="1" applyAlignment="1">
      <alignment horizontal="center" vertical="center" wrapText="1"/>
    </xf>
    <xf numFmtId="0" fontId="28" fillId="61" borderId="1" xfId="0" applyFont="1" applyFill="1" applyBorder="1" applyAlignment="1">
      <alignment horizontal="center" vertical="center"/>
    </xf>
    <xf numFmtId="0" fontId="43" fillId="40" borderId="1" xfId="0" applyFont="1" applyFill="1" applyBorder="1" applyAlignment="1">
      <alignment horizontal="center" shrinkToFit="1"/>
    </xf>
    <xf numFmtId="167" fontId="69" fillId="38" borderId="0" xfId="0" applyNumberFormat="1" applyFont="1" applyFill="1" applyBorder="1" applyAlignment="1">
      <alignment horizontal="center" vertical="top"/>
    </xf>
    <xf numFmtId="167" fontId="71" fillId="28" borderId="1" xfId="0" applyNumberFormat="1" applyFont="1" applyFill="1" applyBorder="1" applyAlignment="1">
      <alignment horizontal="center" vertical="center"/>
    </xf>
    <xf numFmtId="167" fontId="70" fillId="38" borderId="0" xfId="0" applyNumberFormat="1" applyFont="1" applyFill="1" applyBorder="1" applyAlignment="1">
      <alignment horizontal="center" vertical="center"/>
    </xf>
    <xf numFmtId="167" fontId="28" fillId="38" borderId="1" xfId="0" applyNumberFormat="1" applyFont="1" applyFill="1" applyBorder="1" applyAlignment="1">
      <alignment horizontal="center" vertical="center"/>
    </xf>
    <xf numFmtId="167" fontId="27" fillId="21" borderId="1" xfId="0" applyNumberFormat="1" applyFont="1" applyFill="1" applyBorder="1" applyAlignment="1">
      <alignment horizontal="center" vertical="center" shrinkToFit="1"/>
    </xf>
    <xf numFmtId="167" fontId="43" fillId="0" borderId="0" xfId="0" applyNumberFormat="1" applyFont="1" applyAlignment="1">
      <alignment horizontal="center" vertical="center"/>
    </xf>
    <xf numFmtId="182" fontId="28" fillId="26" borderId="1" xfId="0" applyNumberFormat="1" applyFont="1" applyFill="1" applyBorder="1" applyAlignment="1">
      <alignment horizontal="left" vertical="center"/>
    </xf>
    <xf numFmtId="0" fontId="27" fillId="26" borderId="1" xfId="0" applyFont="1" applyFill="1" applyBorder="1" applyAlignment="1">
      <alignment horizontal="left" vertical="center" shrinkToFit="1"/>
    </xf>
    <xf numFmtId="0" fontId="28" fillId="26" borderId="1" xfId="0" applyFont="1" applyFill="1" applyBorder="1" applyAlignment="1">
      <alignment horizontal="center" vertical="center"/>
    </xf>
    <xf numFmtId="167" fontId="28" fillId="26" borderId="1" xfId="0" applyNumberFormat="1" applyFont="1" applyFill="1" applyBorder="1" applyAlignment="1">
      <alignment horizontal="center" vertical="center"/>
    </xf>
    <xf numFmtId="167" fontId="28" fillId="26" borderId="1" xfId="0" applyNumberFormat="1" applyFont="1" applyFill="1" applyBorder="1" applyAlignment="1">
      <alignment horizontal="left" vertical="center"/>
    </xf>
    <xf numFmtId="0" fontId="28" fillId="26" borderId="1" xfId="0" applyFont="1" applyFill="1" applyBorder="1" applyAlignment="1">
      <alignment horizontal="left" vertical="center" wrapText="1" shrinkToFit="1"/>
    </xf>
    <xf numFmtId="0" fontId="28" fillId="26" borderId="1" xfId="0" applyFont="1" applyFill="1" applyBorder="1" applyAlignment="1">
      <alignment horizontal="left" vertical="center" wrapText="1"/>
    </xf>
    <xf numFmtId="0" fontId="27" fillId="26" borderId="1" xfId="0" applyFont="1" applyFill="1" applyBorder="1" applyAlignment="1">
      <alignment horizontal="center" vertical="center" shrinkToFit="1"/>
    </xf>
    <xf numFmtId="0" fontId="27" fillId="60" borderId="1" xfId="0" applyNumberFormat="1" applyFont="1" applyFill="1" applyBorder="1" applyAlignment="1">
      <alignment horizontal="center" shrinkToFit="1"/>
    </xf>
    <xf numFmtId="0" fontId="27" fillId="40" borderId="1" xfId="0" applyNumberFormat="1" applyFont="1" applyFill="1" applyBorder="1" applyAlignment="1">
      <alignment horizontal="center" shrinkToFit="1"/>
    </xf>
    <xf numFmtId="0" fontId="27" fillId="21" borderId="1" xfId="0" applyFont="1" applyFill="1" applyBorder="1" applyAlignment="1">
      <alignment horizontal="left" vertical="center" shrinkToFit="1"/>
    </xf>
    <xf numFmtId="0" fontId="27" fillId="60" borderId="1" xfId="0" applyFont="1" applyFill="1" applyBorder="1" applyAlignment="1">
      <alignment horizontal="center" vertical="center" shrinkToFit="1"/>
    </xf>
    <xf numFmtId="0" fontId="27" fillId="40" borderId="1" xfId="0" applyFont="1" applyFill="1" applyBorder="1" applyAlignment="1">
      <alignment horizontal="center" vertical="center" shrinkToFit="1"/>
    </xf>
    <xf numFmtId="0" fontId="52" fillId="60" borderId="1" xfId="0" applyNumberFormat="1" applyFont="1" applyFill="1" applyBorder="1" applyAlignment="1">
      <alignment horizontal="center" vertical="top" shrinkToFit="1"/>
    </xf>
    <xf numFmtId="0" fontId="52" fillId="40" borderId="1" xfId="0" applyNumberFormat="1" applyFont="1" applyFill="1" applyBorder="1" applyAlignment="1">
      <alignment horizontal="center" vertical="top" shrinkToFit="1"/>
    </xf>
    <xf numFmtId="0" fontId="51" fillId="60" borderId="1" xfId="0" applyNumberFormat="1" applyFont="1" applyFill="1" applyBorder="1" applyAlignment="1">
      <alignment horizontal="center" vertical="top" shrinkToFit="1"/>
    </xf>
    <xf numFmtId="0" fontId="52" fillId="40" borderId="1" xfId="0" applyNumberFormat="1" applyFont="1" applyFill="1" applyBorder="1" applyAlignment="1">
      <alignment horizontal="center" shrinkToFit="1"/>
    </xf>
    <xf numFmtId="0" fontId="52" fillId="60" borderId="1" xfId="0" applyNumberFormat="1" applyFont="1" applyFill="1" applyBorder="1" applyAlignment="1">
      <alignment horizontal="center" shrinkToFit="1"/>
    </xf>
    <xf numFmtId="0" fontId="51" fillId="40" borderId="1" xfId="0" applyNumberFormat="1" applyFont="1" applyFill="1" applyBorder="1" applyAlignment="1">
      <alignment horizontal="center" vertical="top" shrinkToFit="1"/>
    </xf>
    <xf numFmtId="0" fontId="52" fillId="40" borderId="1" xfId="10" applyNumberFormat="1" applyFont="1" applyFill="1" applyBorder="1" applyAlignment="1">
      <alignment horizontal="center" shrinkToFit="1"/>
    </xf>
    <xf numFmtId="0" fontId="52" fillId="60" borderId="1" xfId="10" applyNumberFormat="1" applyFont="1" applyFill="1" applyBorder="1" applyAlignment="1">
      <alignment horizontal="center" shrinkToFit="1"/>
    </xf>
    <xf numFmtId="169" fontId="42" fillId="0" borderId="0" xfId="0" applyNumberFormat="1" applyFont="1"/>
    <xf numFmtId="169" fontId="26" fillId="17" borderId="31" xfId="0" applyNumberFormat="1" applyFont="1" applyFill="1" applyBorder="1" applyAlignment="1">
      <alignment horizontal="center" shrinkToFit="1"/>
    </xf>
    <xf numFmtId="169" fontId="27" fillId="21" borderId="31" xfId="11" applyNumberFormat="1" applyFont="1" applyFill="1" applyBorder="1" applyAlignment="1" applyProtection="1">
      <alignment horizontal="center"/>
      <protection locked="0"/>
    </xf>
    <xf numFmtId="169" fontId="27" fillId="21" borderId="31" xfId="0" applyNumberFormat="1" applyFont="1" applyFill="1" applyBorder="1" applyAlignment="1">
      <alignment horizontal="center" vertical="top"/>
    </xf>
    <xf numFmtId="169" fontId="27" fillId="0" borderId="0" xfId="0" applyNumberFormat="1" applyFont="1" applyFill="1" applyBorder="1" applyAlignment="1">
      <alignment horizontal="center" vertical="top"/>
    </xf>
    <xf numFmtId="169" fontId="29" fillId="0" borderId="0" xfId="0" applyNumberFormat="1" applyFont="1" applyFill="1" applyBorder="1" applyAlignment="1">
      <alignment horizontal="center" vertical="top"/>
    </xf>
    <xf numFmtId="169" fontId="27" fillId="25" borderId="31" xfId="0" applyNumberFormat="1" applyFont="1" applyFill="1" applyBorder="1" applyAlignment="1">
      <alignment horizontal="center"/>
    </xf>
    <xf numFmtId="169" fontId="42" fillId="0" borderId="0" xfId="0" applyNumberFormat="1" applyFont="1" applyAlignment="1">
      <alignment horizontal="center"/>
    </xf>
    <xf numFmtId="0" fontId="42" fillId="0" borderId="0" xfId="0" applyNumberFormat="1" applyFont="1" applyAlignment="1">
      <alignment horizontal="center"/>
    </xf>
    <xf numFmtId="0" fontId="27" fillId="24" borderId="31" xfId="0" applyNumberFormat="1" applyFont="1" applyFill="1" applyBorder="1" applyAlignment="1">
      <alignment horizontal="center"/>
    </xf>
    <xf numFmtId="169" fontId="27" fillId="25" borderId="31" xfId="0" applyNumberFormat="1" applyFont="1" applyFill="1" applyBorder="1" applyAlignment="1"/>
    <xf numFmtId="0" fontId="30" fillId="63" borderId="31" xfId="0" applyNumberFormat="1" applyFont="1" applyFill="1" applyBorder="1" applyAlignment="1">
      <alignment horizontal="left"/>
    </xf>
    <xf numFmtId="0" fontId="27" fillId="63" borderId="31" xfId="0" applyNumberFormat="1" applyFont="1" applyFill="1" applyBorder="1" applyAlignment="1">
      <alignment horizontal="left"/>
    </xf>
    <xf numFmtId="0" fontId="27" fillId="63" borderId="31" xfId="0" applyNumberFormat="1" applyFont="1" applyFill="1" applyBorder="1" applyAlignment="1">
      <alignment horizontal="center"/>
    </xf>
    <xf numFmtId="0" fontId="27" fillId="63" borderId="31" xfId="0" applyNumberFormat="1" applyFont="1" applyFill="1" applyBorder="1" applyAlignment="1"/>
    <xf numFmtId="0" fontId="97" fillId="42" borderId="1" xfId="0" applyFont="1" applyFill="1" applyBorder="1" applyAlignment="1"/>
    <xf numFmtId="169" fontId="40" fillId="42" borderId="1" xfId="11" applyNumberFormat="1" applyFont="1" applyFill="1" applyBorder="1" applyAlignment="1" applyProtection="1">
      <alignment horizontal="center"/>
    </xf>
    <xf numFmtId="169" fontId="98" fillId="42" borderId="1" xfId="11" applyNumberFormat="1" applyFont="1" applyFill="1" applyBorder="1" applyAlignment="1" applyProtection="1">
      <alignment horizontal="center"/>
    </xf>
    <xf numFmtId="0" fontId="30" fillId="0" borderId="0" xfId="0" applyFont="1" applyAlignment="1"/>
    <xf numFmtId="167" fontId="71" fillId="45" borderId="1" xfId="0" applyNumberFormat="1" applyFont="1" applyFill="1" applyBorder="1" applyAlignment="1" applyProtection="1">
      <alignment horizontal="center" vertical="center"/>
      <protection locked="0"/>
    </xf>
    <xf numFmtId="173" fontId="52" fillId="3" borderId="1" xfId="0" applyNumberFormat="1" applyFont="1" applyFill="1" applyBorder="1" applyAlignment="1" applyProtection="1">
      <protection locked="0"/>
    </xf>
    <xf numFmtId="43" fontId="3" fillId="2" borderId="1" xfId="0" applyNumberFormat="1" applyFont="1" applyFill="1" applyBorder="1" applyProtection="1">
      <protection locked="0"/>
    </xf>
    <xf numFmtId="10" fontId="3" fillId="2" borderId="1" xfId="0" applyNumberFormat="1" applyFont="1" applyFill="1" applyBorder="1" applyProtection="1">
      <protection locked="0"/>
    </xf>
    <xf numFmtId="43" fontId="8" fillId="2" borderId="1" xfId="0" applyNumberFormat="1" applyFont="1" applyFill="1" applyBorder="1" applyProtection="1">
      <protection locked="0"/>
    </xf>
    <xf numFmtId="169" fontId="3" fillId="2" borderId="28" xfId="0" applyNumberFormat="1" applyFont="1" applyFill="1" applyBorder="1" applyProtection="1">
      <protection locked="0"/>
    </xf>
    <xf numFmtId="10" fontId="3" fillId="2" borderId="10" xfId="0" applyNumberFormat="1" applyFont="1" applyFill="1" applyBorder="1" applyProtection="1">
      <protection locked="0"/>
    </xf>
    <xf numFmtId="169" fontId="3" fillId="2" borderId="30" xfId="0" applyNumberFormat="1" applyFont="1" applyFill="1" applyBorder="1" applyProtection="1">
      <protection locked="0"/>
    </xf>
    <xf numFmtId="0" fontId="3" fillId="2" borderId="16" xfId="0" applyFont="1" applyFill="1" applyBorder="1" applyProtection="1">
      <protection locked="0"/>
    </xf>
    <xf numFmtId="0" fontId="3" fillId="2" borderId="1" xfId="0" applyFont="1" applyFill="1" applyBorder="1" applyProtection="1">
      <protection locked="0"/>
    </xf>
    <xf numFmtId="0" fontId="3" fillId="2" borderId="10" xfId="0" applyFont="1" applyFill="1" applyBorder="1" applyProtection="1">
      <protection locked="0"/>
    </xf>
    <xf numFmtId="178" fontId="3" fillId="2" borderId="28" xfId="3" applyNumberFormat="1" applyFont="1" applyFill="1" applyBorder="1" applyAlignment="1" applyProtection="1">
      <alignment vertical="center"/>
      <protection locked="0"/>
    </xf>
    <xf numFmtId="10" fontId="3" fillId="2" borderId="10" xfId="1" applyNumberFormat="1" applyFont="1" applyFill="1" applyBorder="1" applyAlignment="1" applyProtection="1">
      <alignment vertical="center"/>
      <protection locked="0"/>
    </xf>
    <xf numFmtId="179" fontId="3" fillId="2" borderId="10" xfId="3" applyNumberFormat="1" applyFont="1" applyFill="1" applyBorder="1" applyAlignment="1" applyProtection="1">
      <alignment vertical="center"/>
      <protection locked="0"/>
    </xf>
    <xf numFmtId="0" fontId="3" fillId="2" borderId="1" xfId="0" applyFont="1" applyFill="1" applyBorder="1" applyAlignment="1" applyProtection="1">
      <alignment horizontal="center" wrapText="1"/>
      <protection locked="0"/>
    </xf>
    <xf numFmtId="0" fontId="3" fillId="2" borderId="17" xfId="6" applyFont="1" applyFill="1" applyBorder="1" applyAlignment="1" applyProtection="1">
      <alignment horizontal="center" wrapText="1"/>
      <protection locked="0"/>
    </xf>
    <xf numFmtId="169" fontId="92" fillId="5" borderId="1" xfId="0" applyNumberFormat="1" applyFont="1" applyFill="1" applyBorder="1" applyAlignment="1"/>
    <xf numFmtId="0" fontId="52" fillId="5" borderId="1" xfId="0" applyFont="1" applyFill="1" applyBorder="1"/>
    <xf numFmtId="1" fontId="92" fillId="5" borderId="17" xfId="0" applyNumberFormat="1" applyFont="1" applyFill="1" applyBorder="1" applyAlignment="1">
      <alignment horizontal="left"/>
    </xf>
    <xf numFmtId="169" fontId="92" fillId="5" borderId="10" xfId="0" applyNumberFormat="1" applyFont="1" applyFill="1" applyBorder="1" applyAlignment="1"/>
    <xf numFmtId="169" fontId="92" fillId="2" borderId="10" xfId="0" applyNumberFormat="1" applyFont="1" applyFill="1" applyBorder="1" applyAlignment="1"/>
    <xf numFmtId="169" fontId="92" fillId="2" borderId="1" xfId="0" applyNumberFormat="1" applyFont="1" applyFill="1" applyBorder="1" applyAlignment="1"/>
    <xf numFmtId="1" fontId="100" fillId="5" borderId="17" xfId="0" applyNumberFormat="1" applyFont="1" applyFill="1" applyBorder="1" applyAlignment="1">
      <alignment horizontal="left"/>
    </xf>
    <xf numFmtId="169" fontId="101" fillId="5" borderId="1" xfId="0" applyNumberFormat="1" applyFont="1" applyFill="1" applyBorder="1" applyAlignment="1"/>
    <xf numFmtId="0" fontId="28" fillId="5" borderId="1" xfId="0" applyFont="1" applyFill="1" applyBorder="1"/>
    <xf numFmtId="169" fontId="101" fillId="5" borderId="10" xfId="0" applyNumberFormat="1" applyFont="1" applyFill="1" applyBorder="1" applyAlignment="1"/>
    <xf numFmtId="169" fontId="92" fillId="36" borderId="10" xfId="0" applyNumberFormat="1" applyFont="1" applyFill="1" applyBorder="1" applyAlignment="1"/>
    <xf numFmtId="0" fontId="43" fillId="52" borderId="0" xfId="0" applyFont="1" applyFill="1"/>
    <xf numFmtId="0" fontId="28" fillId="9" borderId="0" xfId="0" applyFont="1" applyFill="1" applyBorder="1"/>
    <xf numFmtId="1" fontId="26" fillId="52" borderId="0" xfId="0" applyNumberFormat="1" applyFont="1" applyFill="1" applyBorder="1" applyAlignment="1">
      <alignment horizontal="left"/>
    </xf>
    <xf numFmtId="169" fontId="52" fillId="2" borderId="1" xfId="0" applyNumberFormat="1" applyFont="1" applyFill="1" applyBorder="1" applyAlignment="1"/>
    <xf numFmtId="1" fontId="73" fillId="52" borderId="1" xfId="0" applyNumberFormat="1" applyFont="1" applyFill="1" applyBorder="1" applyAlignment="1">
      <alignment horizontal="left"/>
    </xf>
    <xf numFmtId="0" fontId="52" fillId="52" borderId="1" xfId="0" applyFont="1" applyFill="1" applyBorder="1"/>
    <xf numFmtId="169" fontId="52" fillId="52" borderId="1" xfId="0" applyNumberFormat="1" applyFont="1" applyFill="1" applyBorder="1" applyAlignment="1"/>
    <xf numFmtId="1" fontId="52" fillId="52" borderId="1" xfId="0" applyNumberFormat="1" applyFont="1" applyFill="1" applyBorder="1" applyAlignment="1">
      <alignment horizontal="left"/>
    </xf>
    <xf numFmtId="169" fontId="73" fillId="52" borderId="1" xfId="0" applyNumberFormat="1" applyFont="1" applyFill="1" applyBorder="1" applyAlignment="1"/>
    <xf numFmtId="169" fontId="28" fillId="52" borderId="1" xfId="0" applyNumberFormat="1" applyFont="1" applyFill="1" applyBorder="1" applyAlignment="1"/>
    <xf numFmtId="1" fontId="28" fillId="52" borderId="1" xfId="0" applyNumberFormat="1" applyFont="1" applyFill="1" applyBorder="1" applyAlignment="1">
      <alignment horizontal="left"/>
    </xf>
    <xf numFmtId="169" fontId="30" fillId="52" borderId="1" xfId="0" applyNumberFormat="1" applyFont="1" applyFill="1" applyBorder="1" applyAlignment="1"/>
    <xf numFmtId="1" fontId="39" fillId="52" borderId="1" xfId="0" applyNumberFormat="1" applyFont="1" applyFill="1" applyBorder="1" applyAlignment="1">
      <alignment horizontal="left"/>
    </xf>
    <xf numFmtId="169" fontId="39" fillId="52" borderId="1" xfId="0" applyNumberFormat="1" applyFont="1" applyFill="1" applyBorder="1" applyAlignment="1"/>
    <xf numFmtId="0" fontId="28" fillId="52" borderId="1" xfId="0" applyFont="1" applyFill="1" applyBorder="1"/>
    <xf numFmtId="1" fontId="52" fillId="42" borderId="1" xfId="0" applyNumberFormat="1" applyFont="1" applyFill="1" applyBorder="1" applyAlignment="1">
      <alignment horizontal="left"/>
    </xf>
    <xf numFmtId="0" fontId="52" fillId="42" borderId="1" xfId="0" applyFont="1" applyFill="1" applyBorder="1"/>
    <xf numFmtId="169" fontId="52" fillId="42" borderId="1" xfId="0" applyNumberFormat="1" applyFont="1" applyFill="1" applyBorder="1" applyAlignment="1"/>
    <xf numFmtId="184" fontId="52" fillId="2" borderId="1" xfId="0" applyNumberFormat="1" applyFont="1" applyFill="1" applyBorder="1" applyAlignment="1"/>
    <xf numFmtId="185" fontId="52" fillId="2" borderId="1" xfId="0" applyNumberFormat="1" applyFont="1" applyFill="1" applyBorder="1" applyAlignment="1"/>
    <xf numFmtId="1" fontId="103" fillId="52" borderId="1" xfId="0" applyNumberFormat="1" applyFont="1" applyFill="1" applyBorder="1" applyAlignment="1">
      <alignment horizontal="left"/>
    </xf>
    <xf numFmtId="0" fontId="52" fillId="0" borderId="32" xfId="0" applyNumberFormat="1" applyFont="1" applyBorder="1" applyAlignment="1">
      <alignment horizontal="left" vertical="center"/>
    </xf>
    <xf numFmtId="0" fontId="52" fillId="0" borderId="0" xfId="0" applyNumberFormat="1" applyFont="1" applyBorder="1" applyAlignment="1">
      <alignment horizontal="left" vertical="center"/>
    </xf>
    <xf numFmtId="0" fontId="28" fillId="0" borderId="0" xfId="0" applyFont="1" applyFill="1" applyAlignment="1">
      <alignment horizontal="left" vertical="top"/>
    </xf>
    <xf numFmtId="0" fontId="28" fillId="0" borderId="0" xfId="0" applyFont="1"/>
    <xf numFmtId="0" fontId="28" fillId="0" borderId="39" xfId="0" applyNumberFormat="1" applyFont="1" applyBorder="1" applyAlignment="1">
      <alignment horizontal="left" vertical="top"/>
    </xf>
    <xf numFmtId="0" fontId="28" fillId="0" borderId="32" xfId="0" applyNumberFormat="1" applyFont="1" applyBorder="1" applyAlignment="1">
      <alignment horizontal="left" vertical="top"/>
    </xf>
    <xf numFmtId="0" fontId="28" fillId="0" borderId="45" xfId="0" applyNumberFormat="1" applyFont="1" applyBorder="1" applyAlignment="1">
      <alignment horizontal="left" vertical="top"/>
    </xf>
    <xf numFmtId="0" fontId="28" fillId="0" borderId="5" xfId="0" applyNumberFormat="1" applyFont="1" applyBorder="1" applyAlignment="1">
      <alignment horizontal="left" vertical="top"/>
    </xf>
    <xf numFmtId="0" fontId="28" fillId="0" borderId="47" xfId="0" applyNumberFormat="1" applyFont="1" applyBorder="1" applyAlignment="1">
      <alignment horizontal="left" vertical="top"/>
    </xf>
    <xf numFmtId="0" fontId="105" fillId="0" borderId="39" xfId="0" applyNumberFormat="1" applyFont="1" applyBorder="1" applyAlignment="1">
      <alignment horizontal="left" vertical="top"/>
    </xf>
    <xf numFmtId="0" fontId="105" fillId="0" borderId="45" xfId="0" applyNumberFormat="1" applyFont="1" applyBorder="1" applyAlignment="1">
      <alignment horizontal="left" vertical="top"/>
    </xf>
    <xf numFmtId="0" fontId="105" fillId="0" borderId="47" xfId="0" applyNumberFormat="1" applyFont="1" applyBorder="1" applyAlignment="1">
      <alignment horizontal="left" vertical="top"/>
    </xf>
    <xf numFmtId="0" fontId="105" fillId="0" borderId="32" xfId="0" applyNumberFormat="1" applyFont="1" applyBorder="1" applyAlignment="1">
      <alignment horizontal="left" vertical="top"/>
    </xf>
    <xf numFmtId="0" fontId="105" fillId="0" borderId="39" xfId="0" applyNumberFormat="1" applyFont="1" applyFill="1" applyBorder="1" applyAlignment="1">
      <alignment horizontal="left" vertical="top"/>
    </xf>
    <xf numFmtId="0" fontId="105" fillId="0" borderId="45" xfId="0" applyNumberFormat="1" applyFont="1" applyFill="1" applyBorder="1" applyAlignment="1">
      <alignment horizontal="left" vertical="top"/>
    </xf>
    <xf numFmtId="0" fontId="105" fillId="0" borderId="47" xfId="0" applyNumberFormat="1" applyFont="1" applyFill="1" applyBorder="1"/>
    <xf numFmtId="0" fontId="105" fillId="0" borderId="32" xfId="0" applyNumberFormat="1" applyFont="1" applyFill="1" applyBorder="1"/>
    <xf numFmtId="0" fontId="106" fillId="28" borderId="45" xfId="0" applyNumberFormat="1" applyFont="1" applyFill="1" applyBorder="1" applyAlignment="1">
      <alignment horizontal="left" vertical="top"/>
    </xf>
    <xf numFmtId="0" fontId="106" fillId="28" borderId="23" xfId="0" applyNumberFormat="1" applyFont="1" applyFill="1" applyBorder="1" applyAlignment="1">
      <alignment horizontal="left" vertical="top"/>
    </xf>
    <xf numFmtId="0" fontId="106" fillId="28" borderId="47" xfId="0" applyNumberFormat="1" applyFont="1" applyFill="1" applyBorder="1" applyAlignment="1">
      <alignment horizontal="left" vertical="top"/>
    </xf>
    <xf numFmtId="0" fontId="107" fillId="28" borderId="45" xfId="0" applyFont="1" applyFill="1" applyBorder="1" applyAlignment="1"/>
    <xf numFmtId="0" fontId="108" fillId="28" borderId="47" xfId="0" applyFont="1" applyFill="1" applyBorder="1" applyAlignment="1"/>
    <xf numFmtId="0" fontId="108" fillId="28" borderId="0" xfId="0" applyNumberFormat="1" applyFont="1" applyFill="1"/>
    <xf numFmtId="0" fontId="109" fillId="0" borderId="5" xfId="0" applyFont="1" applyFill="1" applyBorder="1" applyAlignment="1">
      <alignment vertical="top" wrapText="1"/>
    </xf>
    <xf numFmtId="0" fontId="109" fillId="0" borderId="0" xfId="0" applyFont="1" applyFill="1" applyBorder="1" applyAlignment="1">
      <alignment wrapText="1"/>
    </xf>
    <xf numFmtId="0" fontId="109" fillId="0" borderId="6" xfId="0" applyFont="1" applyFill="1" applyBorder="1" applyAlignment="1">
      <alignment wrapText="1"/>
    </xf>
    <xf numFmtId="0" fontId="109" fillId="0" borderId="0" xfId="0" applyFont="1" applyFill="1" applyBorder="1" applyAlignment="1">
      <alignment horizontal="left" wrapText="1"/>
    </xf>
    <xf numFmtId="0" fontId="109" fillId="0" borderId="0" xfId="0" applyFont="1" applyFill="1" applyBorder="1" applyAlignment="1">
      <alignment vertical="top" wrapText="1"/>
    </xf>
    <xf numFmtId="0" fontId="109" fillId="0" borderId="6" xfId="0" applyFont="1" applyFill="1" applyBorder="1" applyAlignment="1">
      <alignment vertical="top" wrapText="1"/>
    </xf>
    <xf numFmtId="0" fontId="52" fillId="8" borderId="5" xfId="0" applyNumberFormat="1" applyFont="1" applyFill="1" applyBorder="1" applyAlignment="1">
      <alignment horizontal="left" vertical="top"/>
    </xf>
    <xf numFmtId="0" fontId="52" fillId="8" borderId="6" xfId="0" applyNumberFormat="1" applyFont="1" applyFill="1" applyBorder="1" applyAlignment="1">
      <alignment horizontal="left" vertical="top"/>
    </xf>
    <xf numFmtId="0" fontId="52" fillId="0" borderId="5" xfId="0" applyFont="1" applyFill="1" applyBorder="1" applyAlignment="1">
      <alignment horizontal="left" vertical="top"/>
    </xf>
    <xf numFmtId="0" fontId="52" fillId="0" borderId="6" xfId="0" applyFont="1" applyFill="1" applyBorder="1" applyAlignment="1">
      <alignment horizontal="left" vertical="top"/>
    </xf>
    <xf numFmtId="0" fontId="52" fillId="0" borderId="5" xfId="10" applyFont="1" applyFill="1" applyBorder="1" applyAlignment="1">
      <alignment horizontal="left" vertical="top"/>
    </xf>
    <xf numFmtId="0" fontId="52" fillId="8" borderId="68" xfId="0" applyNumberFormat="1" applyFont="1" applyFill="1" applyBorder="1" applyAlignment="1">
      <alignment horizontal="left" vertical="top"/>
    </xf>
    <xf numFmtId="0" fontId="52" fillId="8" borderId="69" xfId="0" applyNumberFormat="1" applyFont="1" applyFill="1" applyBorder="1" applyAlignment="1">
      <alignment horizontal="left" vertical="top"/>
    </xf>
    <xf numFmtId="0" fontId="52" fillId="8" borderId="7" xfId="0" applyNumberFormat="1" applyFont="1" applyFill="1" applyBorder="1" applyAlignment="1">
      <alignment horizontal="left" vertical="top"/>
    </xf>
    <xf numFmtId="0" fontId="52" fillId="8" borderId="8" xfId="0" applyNumberFormat="1" applyFont="1" applyFill="1" applyBorder="1" applyAlignment="1">
      <alignment horizontal="left" vertical="top"/>
    </xf>
    <xf numFmtId="0" fontId="52" fillId="8" borderId="9" xfId="0" applyNumberFormat="1" applyFont="1" applyFill="1" applyBorder="1" applyAlignment="1">
      <alignment horizontal="left" vertical="top"/>
    </xf>
    <xf numFmtId="0" fontId="52" fillId="0" borderId="2" xfId="0" applyFont="1" applyFill="1" applyBorder="1" applyAlignment="1">
      <alignment horizontal="left" vertical="top"/>
    </xf>
    <xf numFmtId="0" fontId="52" fillId="0" borderId="3" xfId="0" applyFont="1" applyFill="1" applyBorder="1" applyAlignment="1">
      <alignment horizontal="left" vertical="top"/>
    </xf>
    <xf numFmtId="0" fontId="52" fillId="0" borderId="4" xfId="0" applyFont="1" applyFill="1" applyBorder="1" applyAlignment="1">
      <alignment horizontal="left" vertical="top"/>
    </xf>
    <xf numFmtId="0" fontId="52" fillId="0" borderId="5" xfId="10" applyFont="1" applyFill="1" applyBorder="1" applyAlignment="1">
      <alignment horizontal="left" vertical="top" wrapText="1"/>
    </xf>
    <xf numFmtId="0" fontId="0" fillId="0" borderId="5" xfId="0" applyBorder="1"/>
    <xf numFmtId="0" fontId="0" fillId="0" borderId="0" xfId="0" applyBorder="1"/>
    <xf numFmtId="0" fontId="0" fillId="0" borderId="6" xfId="0" applyBorder="1"/>
    <xf numFmtId="15" fontId="43" fillId="0" borderId="0" xfId="0" applyNumberFormat="1" applyFont="1" applyFill="1"/>
    <xf numFmtId="182" fontId="43" fillId="28" borderId="0" xfId="0" applyNumberFormat="1" applyFont="1" applyFill="1" applyBorder="1" applyAlignment="1">
      <alignment horizontal="left" vertical="center"/>
    </xf>
    <xf numFmtId="182" fontId="43" fillId="60" borderId="1" xfId="0" applyNumberFormat="1" applyFont="1" applyFill="1" applyBorder="1" applyAlignment="1">
      <alignment horizontal="left" vertical="center"/>
    </xf>
    <xf numFmtId="0" fontId="4" fillId="30" borderId="0" xfId="0" applyFont="1" applyFill="1" applyBorder="1"/>
    <xf numFmtId="0" fontId="89" fillId="0" borderId="0" xfId="0" applyFont="1" applyAlignment="1">
      <alignment horizontal="left" vertical="center"/>
    </xf>
    <xf numFmtId="0" fontId="89" fillId="0" borderId="0" xfId="0" applyFont="1" applyAlignment="1">
      <alignment horizontal="center" vertical="center"/>
    </xf>
    <xf numFmtId="167" fontId="89" fillId="0" borderId="0" xfId="0" applyNumberFormat="1" applyFont="1" applyAlignment="1">
      <alignment horizontal="center" vertical="center"/>
    </xf>
    <xf numFmtId="0" fontId="89" fillId="0" borderId="0" xfId="0" applyFont="1" applyAlignment="1">
      <alignment horizontal="left" vertical="center" wrapText="1"/>
    </xf>
    <xf numFmtId="182" fontId="119" fillId="0" borderId="0" xfId="0" applyNumberFormat="1" applyFont="1" applyAlignment="1">
      <alignment horizontal="left" vertical="center"/>
    </xf>
    <xf numFmtId="164" fontId="119" fillId="0" borderId="0" xfId="0" applyNumberFormat="1" applyFont="1" applyAlignment="1">
      <alignment horizontal="center" vertical="center" shrinkToFit="1"/>
    </xf>
    <xf numFmtId="165" fontId="43" fillId="35" borderId="0" xfId="0" applyNumberFormat="1" applyFont="1" applyFill="1" applyBorder="1"/>
    <xf numFmtId="0" fontId="0" fillId="49" borderId="11" xfId="0" applyFill="1" applyBorder="1" applyAlignment="1"/>
    <xf numFmtId="0" fontId="0" fillId="49" borderId="12" xfId="0" applyFill="1" applyBorder="1" applyAlignment="1"/>
    <xf numFmtId="0" fontId="34" fillId="49" borderId="70" xfId="0" applyFont="1" applyFill="1" applyBorder="1" applyAlignment="1"/>
    <xf numFmtId="0" fontId="30" fillId="0" borderId="47" xfId="0" applyFont="1" applyFill="1" applyBorder="1" applyAlignment="1">
      <alignment horizontal="left" vertical="top"/>
    </xf>
    <xf numFmtId="0" fontId="30" fillId="0" borderId="0" xfId="0" applyFont="1" applyFill="1" applyBorder="1" applyAlignment="1">
      <alignment horizontal="left" vertical="top"/>
    </xf>
    <xf numFmtId="0" fontId="28" fillId="0" borderId="45" xfId="0" applyFont="1" applyFill="1" applyBorder="1" applyAlignment="1">
      <alignment horizontal="left" vertical="top"/>
    </xf>
    <xf numFmtId="0" fontId="121" fillId="0" borderId="45" xfId="0" applyFont="1" applyBorder="1"/>
    <xf numFmtId="0" fontId="105" fillId="0" borderId="23" xfId="0" applyFont="1" applyBorder="1"/>
    <xf numFmtId="0" fontId="121" fillId="0" borderId="47" xfId="0" applyFont="1" applyBorder="1"/>
    <xf numFmtId="0" fontId="105" fillId="0" borderId="0" xfId="0" applyFont="1" applyBorder="1"/>
    <xf numFmtId="0" fontId="121" fillId="0" borderId="39" xfId="0" applyFont="1" applyBorder="1"/>
    <xf numFmtId="0" fontId="105" fillId="0" borderId="40" xfId="0" applyFont="1" applyBorder="1"/>
    <xf numFmtId="0" fontId="121" fillId="0" borderId="47" xfId="0" applyFont="1" applyBorder="1" applyAlignment="1"/>
    <xf numFmtId="0" fontId="121" fillId="0" borderId="63" xfId="0" applyFont="1" applyBorder="1"/>
    <xf numFmtId="0" fontId="122" fillId="0" borderId="39" xfId="0" applyFont="1" applyBorder="1"/>
    <xf numFmtId="0" fontId="122" fillId="0" borderId="40" xfId="0" applyFont="1" applyBorder="1"/>
    <xf numFmtId="0" fontId="105" fillId="0" borderId="23" xfId="0" applyFont="1" applyBorder="1" applyAlignment="1">
      <alignment vertical="top" wrapText="1"/>
    </xf>
    <xf numFmtId="0" fontId="121" fillId="0" borderId="45" xfId="0" applyFont="1" applyBorder="1" applyAlignment="1">
      <alignment horizontal="left" indent="1"/>
    </xf>
    <xf numFmtId="0" fontId="121" fillId="0" borderId="23" xfId="0" applyFont="1" applyBorder="1" applyAlignment="1">
      <alignment vertical="top" wrapText="1"/>
    </xf>
    <xf numFmtId="0" fontId="121" fillId="0" borderId="45" xfId="0" applyFont="1" applyBorder="1" applyAlignment="1"/>
    <xf numFmtId="0" fontId="121" fillId="0" borderId="23" xfId="0" applyFont="1" applyBorder="1" applyAlignment="1"/>
    <xf numFmtId="0" fontId="121" fillId="0" borderId="23" xfId="0" applyFont="1" applyBorder="1"/>
    <xf numFmtId="0" fontId="105" fillId="0" borderId="23" xfId="0" applyFont="1" applyBorder="1" applyAlignment="1">
      <alignment horizontal="left" indent="1"/>
    </xf>
    <xf numFmtId="0" fontId="121" fillId="0" borderId="0" xfId="0" applyFont="1" applyBorder="1"/>
    <xf numFmtId="0" fontId="122" fillId="0" borderId="47" xfId="0" applyFont="1" applyBorder="1" applyAlignment="1">
      <alignment horizontal="left" indent="1"/>
    </xf>
    <xf numFmtId="0" fontId="105" fillId="0" borderId="0" xfId="0" applyFont="1" applyBorder="1" applyAlignment="1">
      <alignment horizontal="left" indent="1"/>
    </xf>
    <xf numFmtId="0" fontId="122" fillId="0" borderId="45" xfId="0" applyFont="1" applyBorder="1" applyAlignment="1">
      <alignment horizontal="left" indent="1"/>
    </xf>
    <xf numFmtId="0" fontId="122" fillId="0" borderId="23" xfId="0" applyFont="1" applyBorder="1" applyAlignment="1">
      <alignment horizontal="left" indent="1"/>
    </xf>
    <xf numFmtId="0" fontId="123" fillId="0" borderId="45" xfId="0" applyFont="1" applyFill="1" applyBorder="1" applyAlignment="1">
      <alignment horizontal="left" vertical="top"/>
    </xf>
    <xf numFmtId="0" fontId="123" fillId="0" borderId="23" xfId="0" applyFont="1" applyFill="1" applyBorder="1" applyAlignment="1">
      <alignment horizontal="left" vertical="top"/>
    </xf>
    <xf numFmtId="0" fontId="124" fillId="0" borderId="0" xfId="0" applyFont="1" applyFill="1" applyAlignment="1">
      <alignment horizontal="left" vertical="top"/>
    </xf>
    <xf numFmtId="0" fontId="123" fillId="0" borderId="47" xfId="0" applyFont="1" applyFill="1" applyBorder="1" applyAlignment="1">
      <alignment horizontal="left" vertical="top"/>
    </xf>
    <xf numFmtId="0" fontId="123" fillId="0" borderId="0" xfId="0" applyFont="1" applyFill="1" applyBorder="1" applyAlignment="1">
      <alignment horizontal="left" vertical="top"/>
    </xf>
    <xf numFmtId="0" fontId="123" fillId="0" borderId="0" xfId="0" applyFont="1" applyFill="1" applyAlignment="1">
      <alignment horizontal="left" vertical="top"/>
    </xf>
    <xf numFmtId="0" fontId="125" fillId="0" borderId="0" xfId="0" applyFont="1"/>
    <xf numFmtId="0" fontId="123" fillId="0" borderId="2" xfId="0" applyFont="1" applyFill="1" applyBorder="1" applyAlignment="1">
      <alignment horizontal="left" vertical="top"/>
    </xf>
    <xf numFmtId="0" fontId="123" fillId="0" borderId="3" xfId="0" applyFont="1" applyFill="1" applyBorder="1" applyAlignment="1">
      <alignment horizontal="left" vertical="top"/>
    </xf>
    <xf numFmtId="0" fontId="123" fillId="0" borderId="5" xfId="0" applyFont="1" applyFill="1" applyBorder="1" applyAlignment="1">
      <alignment horizontal="left" vertical="top"/>
    </xf>
    <xf numFmtId="0" fontId="126" fillId="0" borderId="0" xfId="0" applyFont="1" applyFill="1" applyAlignment="1">
      <alignment horizontal="left" vertical="top"/>
    </xf>
    <xf numFmtId="0" fontId="127" fillId="0" borderId="0" xfId="0" applyFont="1" applyFill="1" applyAlignment="1">
      <alignment horizontal="left" vertical="top"/>
    </xf>
    <xf numFmtId="0" fontId="127" fillId="0" borderId="45" xfId="0" applyFont="1" applyFill="1" applyBorder="1" applyAlignment="1">
      <alignment horizontal="left" vertical="top"/>
    </xf>
    <xf numFmtId="0" fontId="127" fillId="0" borderId="47" xfId="0" applyFont="1" applyFill="1" applyBorder="1" applyAlignment="1">
      <alignment horizontal="left" vertical="top"/>
    </xf>
    <xf numFmtId="0" fontId="127" fillId="0" borderId="0" xfId="0" applyFont="1" applyFill="1" applyBorder="1" applyAlignment="1">
      <alignment horizontal="left" vertical="top"/>
    </xf>
    <xf numFmtId="0" fontId="127" fillId="0" borderId="23" xfId="0" applyFont="1" applyFill="1" applyBorder="1" applyAlignment="1">
      <alignment horizontal="left" vertical="top"/>
    </xf>
    <xf numFmtId="0" fontId="128" fillId="0" borderId="0" xfId="10" applyFont="1" applyFill="1" applyBorder="1" applyAlignment="1">
      <alignment horizontal="center" wrapText="1"/>
    </xf>
    <xf numFmtId="0" fontId="104" fillId="0" borderId="0" xfId="0" applyFont="1" applyFill="1" applyAlignment="1">
      <alignment horizontal="left" vertical="top"/>
    </xf>
    <xf numFmtId="0" fontId="105" fillId="0" borderId="0" xfId="0" applyFont="1" applyFill="1" applyAlignment="1">
      <alignment horizontal="left" vertical="top"/>
    </xf>
    <xf numFmtId="0" fontId="105" fillId="0" borderId="45" xfId="0" applyFont="1" applyFill="1" applyBorder="1" applyAlignment="1">
      <alignment horizontal="left" vertical="center"/>
    </xf>
    <xf numFmtId="0" fontId="105" fillId="0" borderId="23" xfId="0" applyFont="1" applyFill="1" applyBorder="1" applyAlignment="1">
      <alignment horizontal="left" vertical="center"/>
    </xf>
    <xf numFmtId="0" fontId="127" fillId="0" borderId="45" xfId="0" applyFont="1" applyBorder="1" applyAlignment="1">
      <alignment horizontal="left" vertical="top"/>
    </xf>
    <xf numFmtId="0" fontId="127" fillId="0" borderId="23" xfId="0" applyFont="1" applyBorder="1" applyAlignment="1">
      <alignment horizontal="left" vertical="top"/>
    </xf>
    <xf numFmtId="0" fontId="127" fillId="0" borderId="47" xfId="0" applyFont="1" applyBorder="1" applyAlignment="1">
      <alignment horizontal="left" vertical="top"/>
    </xf>
    <xf numFmtId="0" fontId="127" fillId="0" borderId="0" xfId="0" applyFont="1" applyBorder="1" applyAlignment="1">
      <alignment horizontal="left" vertical="top"/>
    </xf>
    <xf numFmtId="0" fontId="127" fillId="0" borderId="23" xfId="0" applyFont="1" applyBorder="1" applyAlignment="1">
      <alignment horizontal="left" vertical="top" wrapText="1"/>
    </xf>
    <xf numFmtId="0" fontId="127" fillId="0" borderId="0" xfId="0" applyFont="1" applyBorder="1" applyAlignment="1">
      <alignment horizontal="left" vertical="top" wrapText="1"/>
    </xf>
    <xf numFmtId="0" fontId="127" fillId="0" borderId="39" xfId="0" applyFont="1" applyBorder="1" applyAlignment="1">
      <alignment horizontal="left" vertical="top"/>
    </xf>
    <xf numFmtId="0" fontId="127" fillId="0" borderId="40" xfId="0" applyFont="1" applyBorder="1" applyAlignment="1">
      <alignment horizontal="left" vertical="top"/>
    </xf>
    <xf numFmtId="0" fontId="127" fillId="0" borderId="32" xfId="0" applyFont="1" applyBorder="1" applyAlignment="1">
      <alignment horizontal="left" vertical="top"/>
    </xf>
    <xf numFmtId="181" fontId="127" fillId="0" borderId="47" xfId="13" applyNumberFormat="1" applyFont="1" applyFill="1" applyBorder="1" applyAlignment="1" applyProtection="1">
      <alignment horizontal="left" vertical="top"/>
    </xf>
    <xf numFmtId="181" fontId="127" fillId="0" borderId="0" xfId="13" applyNumberFormat="1" applyFont="1" applyFill="1" applyBorder="1" applyAlignment="1" applyProtection="1">
      <alignment horizontal="left" vertical="top"/>
    </xf>
    <xf numFmtId="181" fontId="127" fillId="0" borderId="45" xfId="13" applyNumberFormat="1" applyFont="1" applyFill="1" applyBorder="1" applyAlignment="1" applyProtection="1">
      <alignment horizontal="left" vertical="top"/>
    </xf>
    <xf numFmtId="181" fontId="127" fillId="0" borderId="23" xfId="13" applyNumberFormat="1" applyFont="1" applyFill="1" applyBorder="1" applyAlignment="1" applyProtection="1">
      <alignment horizontal="left" vertical="top"/>
    </xf>
    <xf numFmtId="0" fontId="127" fillId="0" borderId="23" xfId="0" applyFont="1" applyFill="1" applyBorder="1" applyAlignment="1">
      <alignment horizontal="left" vertical="top" wrapText="1"/>
    </xf>
    <xf numFmtId="0" fontId="127" fillId="0" borderId="0" xfId="0" applyFont="1" applyFill="1" applyBorder="1" applyAlignment="1">
      <alignment horizontal="left" vertical="top" wrapText="1"/>
    </xf>
    <xf numFmtId="169" fontId="27" fillId="21" borderId="1" xfId="11" applyNumberFormat="1" applyFont="1" applyFill="1" applyBorder="1" applyAlignment="1" applyProtection="1">
      <alignment horizontal="center"/>
      <protection locked="0"/>
    </xf>
    <xf numFmtId="169" fontId="42" fillId="0" borderId="1" xfId="0" applyNumberFormat="1" applyFont="1" applyBorder="1"/>
    <xf numFmtId="0" fontId="26" fillId="17" borderId="42" xfId="0" applyNumberFormat="1" applyFont="1" applyFill="1" applyBorder="1" applyAlignment="1">
      <alignment horizontal="center" shrinkToFit="1"/>
    </xf>
    <xf numFmtId="169" fontId="26" fillId="17" borderId="42" xfId="0" applyNumberFormat="1" applyFont="1" applyFill="1" applyBorder="1" applyAlignment="1">
      <alignment horizontal="center" shrinkToFit="1"/>
    </xf>
    <xf numFmtId="15" fontId="26" fillId="17" borderId="42" xfId="0" applyNumberFormat="1" applyFont="1" applyFill="1" applyBorder="1" applyAlignment="1">
      <alignment horizontal="center" shrinkToFit="1"/>
    </xf>
    <xf numFmtId="0" fontId="27" fillId="43" borderId="43" xfId="0" applyNumberFormat="1" applyFont="1" applyFill="1" applyBorder="1" applyAlignment="1">
      <alignment horizontal="left"/>
    </xf>
    <xf numFmtId="0" fontId="27" fillId="43" borderId="43" xfId="0" applyNumberFormat="1" applyFont="1" applyFill="1" applyBorder="1" applyAlignment="1">
      <alignment horizontal="center"/>
    </xf>
    <xf numFmtId="0" fontId="27" fillId="44" borderId="43" xfId="0" applyNumberFormat="1" applyFont="1" applyFill="1" applyBorder="1" applyAlignment="1"/>
    <xf numFmtId="0" fontId="27" fillId="19" borderId="1" xfId="0" applyNumberFormat="1" applyFont="1" applyFill="1" applyBorder="1" applyAlignment="1">
      <alignment horizontal="center"/>
    </xf>
    <xf numFmtId="169" fontId="38" fillId="19" borderId="1" xfId="0" applyNumberFormat="1" applyFont="1" applyFill="1" applyBorder="1" applyAlignment="1" applyProtection="1">
      <alignment horizontal="center" vertical="center"/>
    </xf>
    <xf numFmtId="169" fontId="38" fillId="19" borderId="1" xfId="0" applyNumberFormat="1" applyFont="1" applyFill="1" applyBorder="1" applyAlignment="1" applyProtection="1">
      <alignment horizontal="center" vertical="center" wrapText="1"/>
    </xf>
    <xf numFmtId="0" fontId="38" fillId="19" borderId="1" xfId="0" applyNumberFormat="1" applyFont="1" applyFill="1" applyBorder="1" applyAlignment="1" applyProtection="1">
      <alignment horizontal="center" vertical="center"/>
    </xf>
    <xf numFmtId="0" fontId="27" fillId="20" borderId="1" xfId="0" applyNumberFormat="1" applyFont="1" applyFill="1" applyBorder="1" applyAlignment="1">
      <alignment horizontal="center"/>
    </xf>
    <xf numFmtId="169" fontId="27" fillId="20" borderId="1" xfId="0" applyNumberFormat="1" applyFont="1" applyFill="1" applyBorder="1" applyAlignment="1" applyProtection="1">
      <alignment horizontal="center"/>
      <protection locked="0"/>
    </xf>
    <xf numFmtId="169" fontId="130" fillId="20" borderId="1" xfId="0" applyNumberFormat="1" applyFont="1" applyFill="1" applyBorder="1" applyAlignment="1" applyProtection="1">
      <alignment horizontal="center"/>
    </xf>
    <xf numFmtId="0" fontId="38" fillId="20" borderId="1" xfId="0" applyNumberFormat="1" applyFont="1" applyFill="1" applyBorder="1" applyAlignment="1" applyProtection="1">
      <alignment horizontal="center"/>
    </xf>
    <xf numFmtId="169" fontId="38" fillId="20" borderId="1" xfId="0" applyNumberFormat="1" applyFont="1" applyFill="1" applyBorder="1" applyAlignment="1" applyProtection="1">
      <alignment horizontal="left"/>
    </xf>
    <xf numFmtId="0" fontId="27" fillId="0" borderId="1" xfId="10" applyNumberFormat="1" applyFont="1" applyFill="1" applyBorder="1" applyAlignment="1">
      <alignment horizontal="center"/>
    </xf>
    <xf numFmtId="169" fontId="27" fillId="0" borderId="1" xfId="10" applyNumberFormat="1" applyFont="1" applyFill="1" applyBorder="1" applyAlignment="1">
      <alignment horizontal="left"/>
    </xf>
    <xf numFmtId="169" fontId="27" fillId="0" borderId="1" xfId="0" applyNumberFormat="1" applyFont="1" applyFill="1" applyBorder="1" applyAlignment="1">
      <alignment horizontal="center" vertical="top"/>
    </xf>
    <xf numFmtId="0" fontId="27" fillId="0" borderId="1" xfId="0" applyNumberFormat="1" applyFont="1" applyBorder="1" applyAlignment="1">
      <alignment horizontal="center" vertical="top" wrapText="1"/>
    </xf>
    <xf numFmtId="169" fontId="27" fillId="22" borderId="1" xfId="0" applyNumberFormat="1" applyFont="1" applyFill="1" applyBorder="1" applyAlignment="1">
      <alignment horizontal="center" vertical="top"/>
    </xf>
    <xf numFmtId="0" fontId="27" fillId="6" borderId="1" xfId="0" applyNumberFormat="1" applyFont="1" applyFill="1" applyBorder="1" applyAlignment="1">
      <alignment horizontal="center" vertical="top" wrapText="1"/>
    </xf>
    <xf numFmtId="169" fontId="27" fillId="64" borderId="1" xfId="11" applyNumberFormat="1" applyFont="1" applyFill="1" applyBorder="1" applyAlignment="1" applyProtection="1">
      <alignment horizontal="center"/>
      <protection locked="0"/>
    </xf>
    <xf numFmtId="0" fontId="38" fillId="20" borderId="1" xfId="0" applyNumberFormat="1" applyFont="1" applyFill="1" applyBorder="1" applyAlignment="1">
      <alignment horizontal="center" vertical="top" wrapText="1"/>
    </xf>
    <xf numFmtId="169" fontId="27" fillId="20" borderId="1" xfId="11" applyNumberFormat="1" applyFont="1" applyFill="1" applyBorder="1" applyAlignment="1" applyProtection="1">
      <alignment horizontal="center"/>
      <protection locked="0"/>
    </xf>
    <xf numFmtId="0" fontId="27" fillId="0" borderId="1" xfId="0" applyNumberFormat="1" applyFont="1" applyFill="1" applyBorder="1" applyAlignment="1">
      <alignment horizontal="center"/>
    </xf>
    <xf numFmtId="169" fontId="38" fillId="20" borderId="1" xfId="11" applyNumberFormat="1" applyFont="1" applyFill="1" applyBorder="1" applyAlignment="1" applyProtection="1">
      <alignment horizontal="center"/>
      <protection locked="0"/>
    </xf>
    <xf numFmtId="169" fontId="27" fillId="0" borderId="1" xfId="0" applyNumberFormat="1" applyFont="1" applyFill="1" applyBorder="1" applyAlignment="1">
      <alignment horizontal="left"/>
    </xf>
    <xf numFmtId="169" fontId="27" fillId="0" borderId="1" xfId="11" applyNumberFormat="1" applyFont="1" applyFill="1" applyBorder="1" applyAlignment="1" applyProtection="1">
      <alignment horizontal="center"/>
    </xf>
    <xf numFmtId="0" fontId="27" fillId="0" borderId="1" xfId="11" applyNumberFormat="1" applyFont="1" applyFill="1" applyBorder="1" applyAlignment="1" applyProtection="1">
      <alignment horizontal="center"/>
    </xf>
    <xf numFmtId="169" fontId="38" fillId="22" borderId="1" xfId="0" applyNumberFormat="1" applyFont="1" applyFill="1" applyBorder="1" applyAlignment="1">
      <alignment horizontal="center" vertical="top"/>
    </xf>
    <xf numFmtId="169" fontId="38" fillId="30" borderId="1" xfId="0" applyNumberFormat="1" applyFont="1" applyFill="1" applyBorder="1" applyAlignment="1">
      <alignment horizontal="center" vertical="center" wrapText="1"/>
    </xf>
    <xf numFmtId="0" fontId="0" fillId="0" borderId="1" xfId="0" applyBorder="1" applyAlignment="1">
      <alignment horizontal="center" wrapText="1"/>
    </xf>
    <xf numFmtId="169" fontId="27" fillId="0" borderId="1" xfId="0" applyNumberFormat="1" applyFont="1" applyBorder="1" applyAlignment="1" applyProtection="1">
      <alignment horizontal="center" vertical="top"/>
      <protection locked="0"/>
    </xf>
    <xf numFmtId="0" fontId="27" fillId="22" borderId="1" xfId="0" applyNumberFormat="1" applyFont="1" applyFill="1" applyBorder="1" applyAlignment="1">
      <alignment horizontal="center"/>
    </xf>
    <xf numFmtId="169" fontId="38" fillId="22" borderId="1" xfId="11" applyNumberFormat="1" applyFont="1" applyFill="1" applyBorder="1" applyAlignment="1" applyProtection="1">
      <alignment horizontal="center"/>
      <protection locked="0"/>
    </xf>
    <xf numFmtId="169" fontId="38" fillId="22" borderId="1" xfId="11" applyNumberFormat="1" applyFont="1" applyFill="1" applyBorder="1" applyAlignment="1" applyProtection="1">
      <alignment horizontal="center"/>
    </xf>
    <xf numFmtId="0" fontId="38" fillId="22" borderId="1" xfId="0" applyNumberFormat="1" applyFont="1" applyFill="1" applyBorder="1" applyAlignment="1" applyProtection="1">
      <alignment horizontal="center"/>
    </xf>
    <xf numFmtId="0" fontId="27" fillId="18" borderId="1" xfId="0" applyNumberFormat="1" applyFont="1" applyFill="1" applyBorder="1" applyAlignment="1">
      <alignment horizontal="center"/>
    </xf>
    <xf numFmtId="169" fontId="27" fillId="18" borderId="1" xfId="11" applyNumberFormat="1" applyFont="1" applyFill="1" applyBorder="1" applyAlignment="1" applyProtection="1">
      <alignment horizontal="center"/>
      <protection locked="0"/>
    </xf>
    <xf numFmtId="169" fontId="27" fillId="18" borderId="1" xfId="11" applyNumberFormat="1" applyFont="1" applyFill="1" applyBorder="1" applyAlignment="1" applyProtection="1">
      <alignment horizontal="center"/>
    </xf>
    <xf numFmtId="0" fontId="27" fillId="18" borderId="1" xfId="11" applyNumberFormat="1" applyFont="1" applyFill="1" applyBorder="1" applyAlignment="1" applyProtection="1">
      <alignment horizontal="center"/>
    </xf>
    <xf numFmtId="0" fontId="27" fillId="6" borderId="1" xfId="11" applyNumberFormat="1" applyFont="1" applyFill="1" applyBorder="1" applyAlignment="1" applyProtection="1">
      <alignment horizontal="center"/>
    </xf>
    <xf numFmtId="169" fontId="27" fillId="6" borderId="1" xfId="11" applyNumberFormat="1" applyFont="1" applyFill="1" applyBorder="1" applyAlignment="1" applyProtection="1">
      <alignment horizontal="center"/>
      <protection locked="0"/>
    </xf>
    <xf numFmtId="169" fontId="27" fillId="6" borderId="1" xfId="0" applyNumberFormat="1" applyFont="1" applyFill="1" applyBorder="1" applyAlignment="1" applyProtection="1">
      <alignment horizontal="center" vertical="top"/>
      <protection locked="0"/>
    </xf>
    <xf numFmtId="169" fontId="38" fillId="20" borderId="1" xfId="0" applyNumberFormat="1" applyFont="1" applyFill="1" applyBorder="1" applyAlignment="1" applyProtection="1">
      <alignment horizontal="center"/>
      <protection locked="0"/>
    </xf>
    <xf numFmtId="0" fontId="27" fillId="23" borderId="1" xfId="0" applyNumberFormat="1" applyFont="1" applyFill="1" applyBorder="1" applyAlignment="1">
      <alignment horizontal="center"/>
    </xf>
    <xf numFmtId="169" fontId="38" fillId="23" borderId="1" xfId="11" applyNumberFormat="1" applyFont="1" applyFill="1" applyBorder="1" applyAlignment="1" applyProtection="1">
      <alignment horizontal="center"/>
    </xf>
    <xf numFmtId="0" fontId="38" fillId="23" borderId="1" xfId="0" applyNumberFormat="1" applyFont="1" applyFill="1" applyBorder="1" applyAlignment="1" applyProtection="1">
      <alignment horizontal="center"/>
    </xf>
    <xf numFmtId="0" fontId="30" fillId="18" borderId="1" xfId="0" applyNumberFormat="1" applyFont="1" applyFill="1" applyBorder="1" applyAlignment="1">
      <alignment horizontal="center"/>
    </xf>
    <xf numFmtId="169" fontId="28" fillId="18" borderId="1" xfId="0" applyNumberFormat="1" applyFont="1" applyFill="1" applyBorder="1" applyAlignment="1">
      <alignment horizontal="center"/>
    </xf>
    <xf numFmtId="0" fontId="28" fillId="18" borderId="1" xfId="0" applyNumberFormat="1" applyFont="1" applyFill="1" applyBorder="1" applyAlignment="1">
      <alignment horizontal="center"/>
    </xf>
    <xf numFmtId="169" fontId="27" fillId="18" borderId="1" xfId="0" applyNumberFormat="1" applyFont="1" applyFill="1" applyBorder="1" applyAlignment="1">
      <alignment horizontal="center"/>
    </xf>
    <xf numFmtId="169" fontId="26" fillId="17" borderId="31" xfId="0" applyNumberFormat="1" applyFont="1" applyFill="1" applyBorder="1" applyAlignment="1">
      <alignment horizontal="left" shrinkToFit="1"/>
    </xf>
    <xf numFmtId="169" fontId="26" fillId="17" borderId="42" xfId="0" applyNumberFormat="1" applyFont="1" applyFill="1" applyBorder="1" applyAlignment="1">
      <alignment horizontal="left" shrinkToFit="1"/>
    </xf>
    <xf numFmtId="169" fontId="38" fillId="19" borderId="1" xfId="0" applyNumberFormat="1" applyFont="1" applyFill="1" applyBorder="1" applyAlignment="1" applyProtection="1">
      <alignment horizontal="left" vertical="center"/>
    </xf>
    <xf numFmtId="169" fontId="27" fillId="0" borderId="1" xfId="0" applyNumberFormat="1" applyFont="1" applyBorder="1" applyAlignment="1">
      <alignment horizontal="left" vertical="top" wrapText="1"/>
    </xf>
    <xf numFmtId="169" fontId="38" fillId="22" borderId="1" xfId="0" applyNumberFormat="1" applyFont="1" applyFill="1" applyBorder="1" applyAlignment="1" applyProtection="1">
      <alignment horizontal="left"/>
    </xf>
    <xf numFmtId="169" fontId="38" fillId="18" borderId="1" xfId="0" applyNumberFormat="1" applyFont="1" applyFill="1" applyBorder="1" applyAlignment="1" applyProtection="1">
      <alignment horizontal="left"/>
    </xf>
    <xf numFmtId="0" fontId="27" fillId="0" borderId="1" xfId="10" applyNumberFormat="1" applyFont="1" applyFill="1" applyBorder="1" applyAlignment="1">
      <alignment horizontal="left"/>
    </xf>
    <xf numFmtId="169" fontId="38" fillId="23" borderId="1" xfId="0" applyNumberFormat="1" applyFont="1" applyFill="1" applyBorder="1" applyAlignment="1" applyProtection="1">
      <alignment horizontal="left"/>
    </xf>
    <xf numFmtId="169" fontId="27" fillId="18" borderId="1" xfId="0" applyNumberFormat="1" applyFont="1" applyFill="1" applyBorder="1" applyAlignment="1">
      <alignment horizontal="left"/>
    </xf>
    <xf numFmtId="169" fontId="42" fillId="0" borderId="0" xfId="0" applyNumberFormat="1" applyFont="1" applyAlignment="1">
      <alignment horizontal="left"/>
    </xf>
    <xf numFmtId="1" fontId="27" fillId="0" borderId="1" xfId="0" applyNumberFormat="1" applyFont="1" applyBorder="1" applyAlignment="1">
      <alignment horizontal="center" vertical="top" wrapText="1"/>
    </xf>
    <xf numFmtId="169" fontId="27" fillId="2" borderId="1" xfId="0" applyNumberFormat="1" applyFont="1" applyFill="1" applyBorder="1" applyAlignment="1" applyProtection="1">
      <alignment horizontal="center"/>
      <protection locked="0"/>
    </xf>
    <xf numFmtId="0" fontId="52" fillId="0" borderId="1" xfId="11" applyNumberFormat="1" applyFont="1" applyFill="1" applyBorder="1" applyAlignment="1" applyProtection="1">
      <alignment horizontal="center"/>
    </xf>
    <xf numFmtId="169" fontId="27" fillId="6" borderId="1" xfId="0" applyNumberFormat="1" applyFont="1" applyFill="1" applyBorder="1" applyAlignment="1">
      <alignment horizontal="left" vertical="top" wrapText="1"/>
    </xf>
    <xf numFmtId="0" fontId="27" fillId="0" borderId="1" xfId="0" applyNumberFormat="1" applyFont="1" applyBorder="1" applyAlignment="1">
      <alignment horizontal="left" vertical="top" wrapText="1"/>
    </xf>
    <xf numFmtId="169" fontId="27" fillId="20" borderId="1" xfId="0" applyNumberFormat="1" applyFont="1" applyFill="1" applyBorder="1" applyAlignment="1">
      <alignment horizontal="left" vertical="top" wrapText="1"/>
    </xf>
    <xf numFmtId="0" fontId="27" fillId="0" borderId="1" xfId="0" applyNumberFormat="1" applyFont="1" applyFill="1" applyBorder="1" applyAlignment="1">
      <alignment horizontal="left"/>
    </xf>
    <xf numFmtId="1" fontId="27" fillId="0" borderId="1" xfId="0" applyNumberFormat="1" applyFont="1" applyBorder="1" applyAlignment="1">
      <alignment horizontal="left" vertical="top" wrapText="1"/>
    </xf>
    <xf numFmtId="0" fontId="27" fillId="0" borderId="1" xfId="11" applyNumberFormat="1" applyFont="1" applyFill="1" applyBorder="1" applyAlignment="1" applyProtection="1">
      <alignment horizontal="left"/>
    </xf>
    <xf numFmtId="169" fontId="38" fillId="22" borderId="1" xfId="0" applyNumberFormat="1" applyFont="1" applyFill="1" applyBorder="1" applyAlignment="1">
      <alignment horizontal="left" vertical="top"/>
    </xf>
    <xf numFmtId="0" fontId="0" fillId="0" borderId="1" xfId="0" applyBorder="1" applyAlignment="1">
      <alignment horizontal="left" wrapText="1"/>
    </xf>
    <xf numFmtId="169" fontId="42" fillId="0" borderId="1" xfId="0" applyNumberFormat="1" applyFont="1" applyBorder="1" applyAlignment="1">
      <alignment horizontal="left"/>
    </xf>
    <xf numFmtId="169" fontId="27" fillId="20" borderId="1" xfId="0" applyNumberFormat="1" applyFont="1" applyFill="1" applyBorder="1" applyAlignment="1">
      <alignment horizontal="left"/>
    </xf>
    <xf numFmtId="0" fontId="52" fillId="0" borderId="1" xfId="11" applyNumberFormat="1" applyFont="1" applyFill="1" applyBorder="1" applyAlignment="1" applyProtection="1">
      <alignment horizontal="left"/>
    </xf>
    <xf numFmtId="169" fontId="27" fillId="6" borderId="1" xfId="0" applyNumberFormat="1" applyFont="1" applyFill="1" applyBorder="1" applyAlignment="1" applyProtection="1">
      <alignment horizontal="left"/>
    </xf>
    <xf numFmtId="169" fontId="38" fillId="6" borderId="1" xfId="0" applyNumberFormat="1" applyFont="1" applyFill="1" applyBorder="1" applyAlignment="1" applyProtection="1">
      <alignment horizontal="left"/>
    </xf>
    <xf numFmtId="169" fontId="129" fillId="20" borderId="1" xfId="0" applyNumberFormat="1" applyFont="1" applyFill="1" applyBorder="1" applyAlignment="1">
      <alignment horizontal="left"/>
    </xf>
    <xf numFmtId="169" fontId="28" fillId="18" borderId="1" xfId="0" applyNumberFormat="1" applyFont="1" applyFill="1" applyBorder="1" applyAlignment="1">
      <alignment horizontal="left"/>
    </xf>
    <xf numFmtId="0" fontId="27" fillId="44" borderId="43" xfId="0" applyNumberFormat="1" applyFont="1" applyFill="1" applyBorder="1" applyAlignment="1">
      <alignment horizontal="left"/>
    </xf>
    <xf numFmtId="0" fontId="38" fillId="6" borderId="1" xfId="10" applyNumberFormat="1" applyFont="1" applyFill="1" applyBorder="1" applyAlignment="1">
      <alignment horizontal="center" wrapText="1"/>
    </xf>
    <xf numFmtId="169" fontId="38" fillId="6" borderId="1" xfId="10" applyNumberFormat="1" applyFont="1" applyFill="1" applyBorder="1" applyAlignment="1">
      <alignment horizontal="left" wrapText="1"/>
    </xf>
    <xf numFmtId="169" fontId="38" fillId="6" borderId="1" xfId="11" applyNumberFormat="1" applyFont="1" applyFill="1" applyBorder="1" applyAlignment="1" applyProtection="1">
      <alignment horizontal="left" wrapText="1"/>
      <protection locked="0"/>
    </xf>
    <xf numFmtId="169" fontId="38" fillId="6" borderId="1" xfId="11" applyNumberFormat="1" applyFont="1" applyFill="1" applyBorder="1" applyAlignment="1" applyProtection="1">
      <alignment horizontal="center" wrapText="1"/>
      <protection locked="0"/>
    </xf>
    <xf numFmtId="169" fontId="42" fillId="2" borderId="1" xfId="0" applyNumberFormat="1" applyFont="1" applyFill="1" applyBorder="1" applyAlignment="1">
      <alignment horizontal="center"/>
    </xf>
    <xf numFmtId="169" fontId="28" fillId="25" borderId="31" xfId="0" applyNumberFormat="1" applyFont="1" applyFill="1" applyBorder="1" applyAlignment="1"/>
    <xf numFmtId="0" fontId="28" fillId="0" borderId="31" xfId="0" applyNumberFormat="1" applyFont="1" applyFill="1" applyBorder="1" applyAlignment="1">
      <alignment horizontal="left" vertical="center"/>
    </xf>
    <xf numFmtId="169" fontId="38" fillId="19" borderId="1" xfId="0" applyNumberFormat="1" applyFont="1" applyFill="1" applyBorder="1" applyAlignment="1" applyProtection="1">
      <alignment horizontal="left" vertical="center" wrapText="1"/>
    </xf>
    <xf numFmtId="0" fontId="38" fillId="19" borderId="1" xfId="0" applyNumberFormat="1" applyFont="1" applyFill="1" applyBorder="1" applyAlignment="1" applyProtection="1">
      <alignment horizontal="left" vertical="center"/>
    </xf>
    <xf numFmtId="169" fontId="27" fillId="20" borderId="1" xfId="0" applyNumberFormat="1" applyFont="1" applyFill="1" applyBorder="1" applyAlignment="1" applyProtection="1">
      <alignment horizontal="left" vertical="center"/>
      <protection locked="0"/>
    </xf>
    <xf numFmtId="169" fontId="38" fillId="6" borderId="1" xfId="11" applyNumberFormat="1" applyFont="1" applyFill="1" applyBorder="1" applyAlignment="1" applyProtection="1">
      <alignment horizontal="left" vertical="center" wrapText="1"/>
      <protection locked="0"/>
    </xf>
    <xf numFmtId="169" fontId="29" fillId="0" borderId="1" xfId="0" applyNumberFormat="1" applyFont="1" applyFill="1" applyBorder="1" applyAlignment="1" applyProtection="1">
      <alignment horizontal="left" vertical="center"/>
      <protection locked="0"/>
    </xf>
    <xf numFmtId="169" fontId="38" fillId="20" borderId="1" xfId="11" applyNumberFormat="1" applyFont="1" applyFill="1" applyBorder="1" applyAlignment="1" applyProtection="1">
      <alignment horizontal="left" vertical="center"/>
      <protection locked="0"/>
    </xf>
    <xf numFmtId="169" fontId="38" fillId="30" borderId="1" xfId="0" applyNumberFormat="1" applyFont="1" applyFill="1" applyBorder="1" applyAlignment="1">
      <alignment horizontal="left" vertical="center" wrapText="1"/>
    </xf>
    <xf numFmtId="169" fontId="38" fillId="22" borderId="1" xfId="11" applyNumberFormat="1" applyFont="1" applyFill="1" applyBorder="1" applyAlignment="1" applyProtection="1">
      <alignment horizontal="left" vertical="center"/>
      <protection locked="0"/>
    </xf>
    <xf numFmtId="169" fontId="27" fillId="18" borderId="1" xfId="11" applyNumberFormat="1" applyFont="1" applyFill="1" applyBorder="1" applyAlignment="1" applyProtection="1">
      <alignment horizontal="left" vertical="center"/>
      <protection locked="0"/>
    </xf>
    <xf numFmtId="169" fontId="38" fillId="22" borderId="1" xfId="11" applyNumberFormat="1" applyFont="1" applyFill="1" applyBorder="1" applyAlignment="1" applyProtection="1">
      <alignment horizontal="left" vertical="center"/>
    </xf>
    <xf numFmtId="169" fontId="38" fillId="23" borderId="1" xfId="11" applyNumberFormat="1" applyFont="1" applyFill="1" applyBorder="1" applyAlignment="1" applyProtection="1">
      <alignment horizontal="left" vertical="center"/>
    </xf>
    <xf numFmtId="169" fontId="28" fillId="18" borderId="1" xfId="0" applyNumberFormat="1" applyFont="1" applyFill="1" applyBorder="1" applyAlignment="1">
      <alignment horizontal="left" vertical="center"/>
    </xf>
    <xf numFmtId="169" fontId="27" fillId="18" borderId="1" xfId="0" applyNumberFormat="1" applyFont="1" applyFill="1" applyBorder="1" applyAlignment="1">
      <alignment horizontal="left" vertical="center"/>
    </xf>
    <xf numFmtId="0" fontId="27" fillId="43" borderId="43" xfId="0" applyNumberFormat="1" applyFont="1" applyFill="1" applyBorder="1" applyAlignment="1">
      <alignment horizontal="left" vertical="center"/>
    </xf>
    <xf numFmtId="0" fontId="27" fillId="25" borderId="31" xfId="0" applyNumberFormat="1" applyFont="1" applyFill="1" applyBorder="1" applyAlignment="1">
      <alignment horizontal="left" vertical="center"/>
    </xf>
    <xf numFmtId="169" fontId="27" fillId="25" borderId="31" xfId="0" applyNumberFormat="1" applyFont="1" applyFill="1" applyBorder="1" applyAlignment="1">
      <alignment horizontal="left" vertical="center"/>
    </xf>
    <xf numFmtId="0" fontId="28" fillId="25" borderId="31" xfId="0" applyNumberFormat="1" applyFont="1" applyFill="1" applyBorder="1" applyAlignment="1">
      <alignment horizontal="left" vertical="center"/>
    </xf>
    <xf numFmtId="0" fontId="27" fillId="43" borderId="31" xfId="0" applyNumberFormat="1" applyFont="1" applyFill="1" applyBorder="1" applyAlignment="1">
      <alignment horizontal="left" vertical="center"/>
    </xf>
    <xf numFmtId="0" fontId="27" fillId="24" borderId="31" xfId="0" applyNumberFormat="1" applyFont="1" applyFill="1" applyBorder="1" applyAlignment="1">
      <alignment horizontal="left" vertical="center"/>
    </xf>
    <xf numFmtId="0" fontId="31" fillId="25" borderId="31" xfId="0" applyNumberFormat="1" applyFont="1" applyFill="1" applyBorder="1" applyAlignment="1">
      <alignment horizontal="left" vertical="center"/>
    </xf>
    <xf numFmtId="0" fontId="27" fillId="63" borderId="31" xfId="0" applyNumberFormat="1" applyFont="1" applyFill="1" applyBorder="1" applyAlignment="1">
      <alignment horizontal="left" vertical="center"/>
    </xf>
    <xf numFmtId="0" fontId="55" fillId="0" borderId="0" xfId="0" applyNumberFormat="1" applyFont="1" applyAlignment="1">
      <alignment horizontal="left" vertical="center"/>
    </xf>
    <xf numFmtId="0" fontId="1" fillId="42" borderId="1" xfId="0" applyFont="1" applyFill="1" applyBorder="1" applyAlignment="1" applyProtection="1">
      <alignment horizontal="left" vertical="center"/>
      <protection hidden="1"/>
    </xf>
    <xf numFmtId="0" fontId="1" fillId="36" borderId="20" xfId="0" applyFont="1" applyFill="1" applyBorder="1" applyAlignment="1" applyProtection="1">
      <alignment horizontal="left" vertical="center"/>
      <protection hidden="1"/>
    </xf>
    <xf numFmtId="0" fontId="1" fillId="36" borderId="1" xfId="0" applyFont="1" applyFill="1" applyBorder="1" applyAlignment="1" applyProtection="1">
      <alignment horizontal="left" vertical="center"/>
      <protection hidden="1"/>
    </xf>
    <xf numFmtId="0" fontId="1" fillId="36" borderId="27" xfId="0" applyFont="1" applyFill="1" applyBorder="1" applyAlignment="1" applyProtection="1">
      <alignment horizontal="left" vertical="center"/>
      <protection hidden="1"/>
    </xf>
    <xf numFmtId="43" fontId="63" fillId="36" borderId="0" xfId="4" applyNumberFormat="1" applyFont="1" applyFill="1" applyAlignment="1" applyProtection="1">
      <alignment horizontal="left" vertical="center"/>
      <protection hidden="1"/>
    </xf>
    <xf numFmtId="0" fontId="1" fillId="36" borderId="16" xfId="0" applyFont="1" applyFill="1" applyBorder="1" applyAlignment="1" applyProtection="1">
      <alignment horizontal="left" vertical="center"/>
      <protection hidden="1"/>
    </xf>
    <xf numFmtId="43" fontId="6" fillId="42" borderId="0" xfId="5" applyNumberFormat="1" applyFont="1" applyFill="1" applyAlignment="1" applyProtection="1">
      <alignment horizontal="left" vertical="center"/>
      <protection hidden="1"/>
    </xf>
    <xf numFmtId="43" fontId="6" fillId="36" borderId="16" xfId="5" applyNumberFormat="1" applyFont="1" applyFill="1" applyBorder="1" applyAlignment="1" applyProtection="1">
      <alignment horizontal="left" vertical="center"/>
      <protection hidden="1"/>
    </xf>
    <xf numFmtId="0" fontId="55" fillId="42" borderId="0" xfId="0" applyNumberFormat="1" applyFont="1" applyFill="1" applyAlignment="1">
      <alignment horizontal="left" vertical="center"/>
    </xf>
    <xf numFmtId="0" fontId="30" fillId="0" borderId="31" xfId="0" applyNumberFormat="1" applyFont="1" applyFill="1" applyBorder="1" applyAlignment="1">
      <alignment horizontal="left" vertical="center"/>
    </xf>
    <xf numFmtId="0" fontId="27" fillId="19" borderId="1" xfId="0" applyNumberFormat="1" applyFont="1" applyFill="1" applyBorder="1" applyAlignment="1">
      <alignment horizontal="left" vertical="center"/>
    </xf>
    <xf numFmtId="0" fontId="27" fillId="20" borderId="1" xfId="0" applyNumberFormat="1" applyFont="1" applyFill="1" applyBorder="1" applyAlignment="1">
      <alignment horizontal="left" vertical="center"/>
    </xf>
    <xf numFmtId="169" fontId="38" fillId="20" borderId="1" xfId="0" applyNumberFormat="1" applyFont="1" applyFill="1" applyBorder="1" applyAlignment="1" applyProtection="1">
      <alignment horizontal="left" vertical="center"/>
    </xf>
    <xf numFmtId="169" fontId="130" fillId="20" borderId="1" xfId="0" applyNumberFormat="1" applyFont="1" applyFill="1" applyBorder="1" applyAlignment="1" applyProtection="1">
      <alignment horizontal="left" vertical="center"/>
    </xf>
    <xf numFmtId="0" fontId="38" fillId="20" borderId="1" xfId="0" applyNumberFormat="1" applyFont="1" applyFill="1" applyBorder="1" applyAlignment="1" applyProtection="1">
      <alignment horizontal="left" vertical="center"/>
    </xf>
    <xf numFmtId="0" fontId="38" fillId="6" borderId="1" xfId="10" applyNumberFormat="1" applyFont="1" applyFill="1" applyBorder="1" applyAlignment="1">
      <alignment horizontal="left" vertical="center" wrapText="1"/>
    </xf>
    <xf numFmtId="0" fontId="27" fillId="0" borderId="1" xfId="0" applyNumberFormat="1" applyFont="1" applyBorder="1" applyAlignment="1">
      <alignment horizontal="left" vertical="center" wrapText="1"/>
    </xf>
    <xf numFmtId="0" fontId="27" fillId="0" borderId="1" xfId="10" applyNumberFormat="1" applyFont="1" applyFill="1" applyBorder="1" applyAlignment="1">
      <alignment horizontal="left" vertical="center" wrapText="1"/>
    </xf>
    <xf numFmtId="169" fontId="27" fillId="0" borderId="1" xfId="0" applyNumberFormat="1" applyFont="1" applyFill="1" applyBorder="1" applyAlignment="1" applyProtection="1">
      <alignment horizontal="left" vertical="center"/>
      <protection locked="0"/>
    </xf>
    <xf numFmtId="169" fontId="27" fillId="0" borderId="1" xfId="0" applyNumberFormat="1" applyFont="1" applyFill="1" applyBorder="1" applyAlignment="1">
      <alignment horizontal="left" vertical="center"/>
    </xf>
    <xf numFmtId="169" fontId="27" fillId="22" borderId="1" xfId="0" applyNumberFormat="1" applyFont="1" applyFill="1" applyBorder="1" applyAlignment="1">
      <alignment horizontal="left" vertical="center"/>
    </xf>
    <xf numFmtId="0" fontId="27" fillId="6" borderId="1" xfId="0" applyNumberFormat="1" applyFont="1" applyFill="1" applyBorder="1" applyAlignment="1">
      <alignment horizontal="left" vertical="center" wrapText="1"/>
    </xf>
    <xf numFmtId="169" fontId="27" fillId="6" borderId="1" xfId="0" applyNumberFormat="1" applyFont="1" applyFill="1" applyBorder="1" applyAlignment="1">
      <alignment horizontal="left" vertical="center" wrapText="1"/>
    </xf>
    <xf numFmtId="169" fontId="27" fillId="64" borderId="1" xfId="11" applyNumberFormat="1" applyFont="1" applyFill="1" applyBorder="1" applyAlignment="1" applyProtection="1">
      <alignment horizontal="left" vertical="center"/>
      <protection locked="0"/>
    </xf>
    <xf numFmtId="0" fontId="38" fillId="20" borderId="1" xfId="0" applyNumberFormat="1" applyFont="1" applyFill="1" applyBorder="1" applyAlignment="1">
      <alignment horizontal="left" vertical="center" wrapText="1"/>
    </xf>
    <xf numFmtId="169" fontId="27" fillId="20" borderId="1" xfId="0" applyNumberFormat="1" applyFont="1" applyFill="1" applyBorder="1" applyAlignment="1">
      <alignment horizontal="left" vertical="center" wrapText="1"/>
    </xf>
    <xf numFmtId="169" fontId="27" fillId="20" borderId="1" xfId="11" applyNumberFormat="1" applyFont="1" applyFill="1" applyBorder="1" applyAlignment="1" applyProtection="1">
      <alignment horizontal="left" vertical="center"/>
      <protection locked="0"/>
    </xf>
    <xf numFmtId="0" fontId="27" fillId="0" borderId="1" xfId="0" applyNumberFormat="1" applyFont="1" applyFill="1" applyBorder="1" applyAlignment="1">
      <alignment horizontal="left" vertical="center"/>
    </xf>
    <xf numFmtId="169" fontId="27" fillId="0" borderId="1" xfId="11" applyNumberFormat="1" applyFont="1" applyFill="1" applyBorder="1" applyAlignment="1" applyProtection="1">
      <alignment horizontal="left" vertical="center"/>
    </xf>
    <xf numFmtId="1" fontId="27" fillId="0" borderId="1" xfId="0" applyNumberFormat="1" applyFont="1" applyBorder="1" applyAlignment="1">
      <alignment horizontal="left" vertical="center" wrapText="1"/>
    </xf>
    <xf numFmtId="0" fontId="27" fillId="0" borderId="1" xfId="11" applyNumberFormat="1" applyFont="1" applyFill="1" applyBorder="1" applyAlignment="1" applyProtection="1">
      <alignment horizontal="left" vertical="center"/>
    </xf>
    <xf numFmtId="169" fontId="38" fillId="22" borderId="1" xfId="0" applyNumberFormat="1" applyFont="1" applyFill="1" applyBorder="1" applyAlignment="1">
      <alignment horizontal="left" vertical="center"/>
    </xf>
    <xf numFmtId="0" fontId="0" fillId="0" borderId="1" xfId="0" applyBorder="1" applyAlignment="1">
      <alignment horizontal="left" vertical="center" wrapText="1"/>
    </xf>
    <xf numFmtId="169" fontId="42" fillId="0" borderId="1" xfId="0" applyNumberFormat="1" applyFont="1" applyBorder="1" applyAlignment="1">
      <alignment horizontal="left" vertical="center"/>
    </xf>
    <xf numFmtId="169" fontId="27" fillId="20" borderId="1" xfId="0" applyNumberFormat="1" applyFont="1" applyFill="1" applyBorder="1" applyAlignment="1">
      <alignment horizontal="left" vertical="center"/>
    </xf>
    <xf numFmtId="0" fontId="52" fillId="0" borderId="1" xfId="11" applyNumberFormat="1" applyFont="1" applyFill="1" applyBorder="1" applyAlignment="1" applyProtection="1">
      <alignment horizontal="left" vertical="center"/>
    </xf>
    <xf numFmtId="169" fontId="27" fillId="6" borderId="1" xfId="0" applyNumberFormat="1" applyFont="1" applyFill="1" applyBorder="1" applyAlignment="1" applyProtection="1">
      <alignment horizontal="left" vertical="center"/>
    </xf>
    <xf numFmtId="169" fontId="27" fillId="0" borderId="1" xfId="0" applyNumberFormat="1" applyFont="1" applyBorder="1" applyAlignment="1">
      <alignment horizontal="left" vertical="center" wrapText="1"/>
    </xf>
    <xf numFmtId="169" fontId="27" fillId="0" borderId="1" xfId="0" applyNumberFormat="1" applyFont="1" applyBorder="1" applyAlignment="1" applyProtection="1">
      <alignment horizontal="left" vertical="center"/>
      <protection locked="0"/>
    </xf>
    <xf numFmtId="0" fontId="27" fillId="22" borderId="1" xfId="0" applyNumberFormat="1" applyFont="1" applyFill="1" applyBorder="1" applyAlignment="1">
      <alignment horizontal="left" vertical="center"/>
    </xf>
    <xf numFmtId="169" fontId="38" fillId="22" borderId="1" xfId="0" applyNumberFormat="1" applyFont="1" applyFill="1" applyBorder="1" applyAlignment="1" applyProtection="1">
      <alignment horizontal="left" vertical="center"/>
    </xf>
    <xf numFmtId="0" fontId="38" fillId="22" borderId="1" xfId="0" applyNumberFormat="1" applyFont="1" applyFill="1" applyBorder="1" applyAlignment="1" applyProtection="1">
      <alignment horizontal="left" vertical="center"/>
    </xf>
    <xf numFmtId="0" fontId="27" fillId="18" borderId="1" xfId="0" applyNumberFormat="1" applyFont="1" applyFill="1" applyBorder="1" applyAlignment="1">
      <alignment horizontal="left" vertical="center"/>
    </xf>
    <xf numFmtId="169" fontId="38" fillId="18" borderId="1" xfId="0" applyNumberFormat="1" applyFont="1" applyFill="1" applyBorder="1" applyAlignment="1" applyProtection="1">
      <alignment horizontal="left" vertical="center"/>
    </xf>
    <xf numFmtId="169" fontId="27" fillId="18" borderId="1" xfId="11" applyNumberFormat="1" applyFont="1" applyFill="1" applyBorder="1" applyAlignment="1" applyProtection="1">
      <alignment horizontal="left" vertical="center"/>
    </xf>
    <xf numFmtId="0" fontId="27" fillId="18" borderId="1" xfId="11" applyNumberFormat="1" applyFont="1" applyFill="1" applyBorder="1" applyAlignment="1" applyProtection="1">
      <alignment horizontal="left" vertical="center"/>
    </xf>
    <xf numFmtId="0" fontId="27" fillId="6" borderId="1" xfId="11" applyNumberFormat="1" applyFont="1" applyFill="1" applyBorder="1" applyAlignment="1" applyProtection="1">
      <alignment horizontal="left" vertical="center"/>
    </xf>
    <xf numFmtId="169" fontId="38" fillId="6" borderId="1" xfId="0" applyNumberFormat="1" applyFont="1" applyFill="1" applyBorder="1" applyAlignment="1" applyProtection="1">
      <alignment horizontal="left" vertical="center"/>
    </xf>
    <xf numFmtId="169" fontId="27" fillId="6" borderId="1" xfId="11" applyNumberFormat="1" applyFont="1" applyFill="1" applyBorder="1" applyAlignment="1" applyProtection="1">
      <alignment horizontal="left" vertical="center"/>
      <protection locked="0"/>
    </xf>
    <xf numFmtId="0" fontId="27" fillId="0" borderId="1" xfId="10" applyNumberFormat="1" applyFont="1" applyFill="1" applyBorder="1" applyAlignment="1">
      <alignment horizontal="left" vertical="center"/>
    </xf>
    <xf numFmtId="169" fontId="27" fillId="6" borderId="1" xfId="0" applyNumberFormat="1" applyFont="1" applyFill="1" applyBorder="1" applyAlignment="1" applyProtection="1">
      <alignment horizontal="left" vertical="center"/>
      <protection locked="0"/>
    </xf>
    <xf numFmtId="169" fontId="129" fillId="20" borderId="1" xfId="0" applyNumberFormat="1" applyFont="1" applyFill="1" applyBorder="1" applyAlignment="1">
      <alignment horizontal="left" vertical="center"/>
    </xf>
    <xf numFmtId="169" fontId="38" fillId="20" borderId="1" xfId="0" applyNumberFormat="1" applyFont="1" applyFill="1" applyBorder="1" applyAlignment="1" applyProtection="1">
      <alignment horizontal="left" vertical="center"/>
      <protection locked="0"/>
    </xf>
    <xf numFmtId="169" fontId="42" fillId="0" borderId="0" xfId="0" applyNumberFormat="1" applyFont="1" applyAlignment="1">
      <alignment horizontal="left" vertical="center"/>
    </xf>
    <xf numFmtId="0" fontId="27" fillId="23" borderId="1" xfId="0" applyNumberFormat="1" applyFont="1" applyFill="1" applyBorder="1" applyAlignment="1">
      <alignment horizontal="left" vertical="center"/>
    </xf>
    <xf numFmtId="169" fontId="38" fillId="23" borderId="1" xfId="0" applyNumberFormat="1" applyFont="1" applyFill="1" applyBorder="1" applyAlignment="1" applyProtection="1">
      <alignment horizontal="left" vertical="center"/>
    </xf>
    <xf numFmtId="0" fontId="38" fillId="23" borderId="1" xfId="0" applyNumberFormat="1" applyFont="1" applyFill="1" applyBorder="1" applyAlignment="1" applyProtection="1">
      <alignment horizontal="left" vertical="center"/>
    </xf>
    <xf numFmtId="0" fontId="30" fillId="18" borderId="1" xfId="0" applyNumberFormat="1" applyFont="1" applyFill="1" applyBorder="1" applyAlignment="1">
      <alignment horizontal="left" vertical="center"/>
    </xf>
    <xf numFmtId="169" fontId="30" fillId="18" borderId="1" xfId="0" applyNumberFormat="1" applyFont="1" applyFill="1" applyBorder="1" applyAlignment="1">
      <alignment horizontal="left" vertical="center"/>
    </xf>
    <xf numFmtId="0" fontId="28" fillId="18" borderId="1" xfId="0" applyNumberFormat="1" applyFont="1" applyFill="1" applyBorder="1" applyAlignment="1">
      <alignment horizontal="left" vertical="center"/>
    </xf>
    <xf numFmtId="0" fontId="27" fillId="0" borderId="0" xfId="0" applyNumberFormat="1" applyFont="1" applyFill="1" applyAlignment="1">
      <alignment horizontal="left" vertical="center"/>
    </xf>
    <xf numFmtId="0" fontId="27" fillId="44" borderId="43" xfId="0" applyNumberFormat="1" applyFont="1" applyFill="1" applyBorder="1" applyAlignment="1">
      <alignment horizontal="left" vertical="center"/>
    </xf>
    <xf numFmtId="169" fontId="28" fillId="25" borderId="31" xfId="0" applyNumberFormat="1" applyFont="1" applyFill="1" applyBorder="1" applyAlignment="1">
      <alignment horizontal="left" vertical="center"/>
    </xf>
    <xf numFmtId="0" fontId="30" fillId="43" borderId="31" xfId="0" applyNumberFormat="1" applyFont="1" applyFill="1" applyBorder="1" applyAlignment="1">
      <alignment horizontal="left" vertical="center"/>
    </xf>
    <xf numFmtId="0" fontId="30" fillId="44" borderId="31" xfId="0" applyNumberFormat="1" applyFont="1" applyFill="1" applyBorder="1" applyAlignment="1">
      <alignment horizontal="left" vertical="center"/>
    </xf>
    <xf numFmtId="0" fontId="27" fillId="44" borderId="31" xfId="0" applyNumberFormat="1" applyFont="1" applyFill="1" applyBorder="1" applyAlignment="1">
      <alignment horizontal="left" vertical="center"/>
    </xf>
    <xf numFmtId="0" fontId="30" fillId="25" borderId="31" xfId="0" applyNumberFormat="1" applyFont="1" applyFill="1" applyBorder="1" applyAlignment="1">
      <alignment horizontal="left" vertical="center"/>
    </xf>
    <xf numFmtId="0" fontId="30" fillId="63" borderId="31" xfId="0" applyNumberFormat="1" applyFont="1" applyFill="1" applyBorder="1" applyAlignment="1">
      <alignment horizontal="left" vertical="center"/>
    </xf>
    <xf numFmtId="0" fontId="5" fillId="42" borderId="1" xfId="0" applyFont="1" applyFill="1" applyBorder="1" applyAlignment="1" applyProtection="1">
      <alignment horizontal="left" vertical="center" wrapText="1"/>
      <protection hidden="1"/>
    </xf>
    <xf numFmtId="0" fontId="76" fillId="42" borderId="1" xfId="0" applyFont="1" applyFill="1" applyBorder="1" applyAlignment="1" applyProtection="1">
      <alignment horizontal="left" vertical="center" wrapText="1"/>
      <protection hidden="1"/>
    </xf>
    <xf numFmtId="4" fontId="5" fillId="42" borderId="1" xfId="0" applyNumberFormat="1" applyFont="1" applyFill="1" applyBorder="1" applyAlignment="1" applyProtection="1">
      <alignment horizontal="left" vertical="center" wrapText="1"/>
      <protection hidden="1"/>
    </xf>
    <xf numFmtId="0" fontId="6" fillId="36" borderId="1" xfId="0" applyFont="1" applyFill="1" applyBorder="1" applyAlignment="1" applyProtection="1">
      <alignment horizontal="left" vertical="center" wrapText="1"/>
      <protection hidden="1"/>
    </xf>
    <xf numFmtId="0" fontId="5" fillId="36" borderId="1" xfId="0" applyFont="1" applyFill="1" applyBorder="1" applyAlignment="1" applyProtection="1">
      <alignment horizontal="left" vertical="center" wrapText="1"/>
      <protection hidden="1"/>
    </xf>
    <xf numFmtId="4" fontId="6" fillId="36" borderId="1" xfId="0" applyNumberFormat="1" applyFont="1" applyFill="1" applyBorder="1" applyAlignment="1" applyProtection="1">
      <alignment horizontal="left" vertical="center" wrapText="1"/>
      <protection hidden="1"/>
    </xf>
    <xf numFmtId="4" fontId="63" fillId="6" borderId="1" xfId="0" applyNumberFormat="1" applyFont="1" applyFill="1" applyBorder="1" applyAlignment="1" applyProtection="1">
      <alignment horizontal="left" vertical="center" wrapText="1"/>
      <protection hidden="1"/>
    </xf>
    <xf numFmtId="43" fontId="6" fillId="36" borderId="1" xfId="0" applyNumberFormat="1" applyFont="1" applyFill="1" applyBorder="1" applyAlignment="1" applyProtection="1">
      <alignment horizontal="left" vertical="center" wrapText="1"/>
      <protection hidden="1"/>
    </xf>
    <xf numFmtId="0" fontId="6" fillId="36" borderId="1" xfId="0" applyFont="1" applyFill="1" applyBorder="1" applyAlignment="1" applyProtection="1">
      <alignment horizontal="left" vertical="center"/>
      <protection hidden="1"/>
    </xf>
    <xf numFmtId="0" fontId="63" fillId="6" borderId="1" xfId="0" applyFont="1" applyFill="1" applyBorder="1" applyAlignment="1" applyProtection="1">
      <alignment horizontal="left" vertical="center" wrapText="1"/>
      <protection hidden="1"/>
    </xf>
    <xf numFmtId="0" fontId="64" fillId="6" borderId="1" xfId="0" applyFont="1" applyFill="1" applyBorder="1" applyAlignment="1" applyProtection="1">
      <alignment horizontal="left" vertical="center"/>
      <protection hidden="1"/>
    </xf>
    <xf numFmtId="0" fontId="62" fillId="36" borderId="1" xfId="0" applyFont="1" applyFill="1" applyBorder="1" applyAlignment="1" applyProtection="1">
      <alignment horizontal="left" vertical="center"/>
      <protection hidden="1"/>
    </xf>
    <xf numFmtId="0" fontId="43" fillId="36" borderId="1" xfId="0" applyNumberFormat="1" applyFont="1" applyFill="1" applyBorder="1" applyAlignment="1">
      <alignment horizontal="left" vertical="center"/>
    </xf>
    <xf numFmtId="4" fontId="43" fillId="36" borderId="1" xfId="0" applyNumberFormat="1" applyFont="1" applyFill="1" applyBorder="1" applyAlignment="1">
      <alignment horizontal="left" vertical="center"/>
    </xf>
    <xf numFmtId="43" fontId="63" fillId="6" borderId="1" xfId="0" applyNumberFormat="1" applyFont="1" applyFill="1" applyBorder="1" applyAlignment="1" applyProtection="1">
      <alignment horizontal="left" vertical="center" wrapText="1"/>
      <protection hidden="1"/>
    </xf>
    <xf numFmtId="43" fontId="6" fillId="6" borderId="1" xfId="0" applyNumberFormat="1" applyFont="1" applyFill="1" applyBorder="1" applyAlignment="1" applyProtection="1">
      <alignment horizontal="left" vertical="center" wrapText="1"/>
      <protection hidden="1"/>
    </xf>
    <xf numFmtId="4" fontId="5" fillId="6" borderId="1" xfId="0" applyNumberFormat="1" applyFont="1" applyFill="1" applyBorder="1" applyAlignment="1" applyProtection="1">
      <alignment horizontal="left" vertical="center" wrapText="1"/>
      <protection hidden="1"/>
    </xf>
    <xf numFmtId="0" fontId="75" fillId="42" borderId="1" xfId="0" applyFont="1" applyFill="1" applyBorder="1" applyAlignment="1" applyProtection="1">
      <alignment horizontal="left" vertical="center"/>
      <protection hidden="1"/>
    </xf>
    <xf numFmtId="0" fontId="6" fillId="42" borderId="1" xfId="0" applyFont="1" applyFill="1" applyBorder="1" applyAlignment="1" applyProtection="1">
      <alignment horizontal="left" vertical="center"/>
      <protection hidden="1"/>
    </xf>
    <xf numFmtId="43" fontId="63" fillId="36" borderId="25" xfId="0" applyNumberFormat="1" applyFont="1" applyFill="1" applyBorder="1" applyAlignment="1" applyProtection="1">
      <alignment horizontal="left" vertical="center"/>
      <protection hidden="1"/>
    </xf>
    <xf numFmtId="43" fontId="63" fillId="36" borderId="20" xfId="0" applyNumberFormat="1" applyFont="1" applyFill="1" applyBorder="1" applyAlignment="1" applyProtection="1">
      <alignment horizontal="left" vertical="center"/>
      <protection hidden="1"/>
    </xf>
    <xf numFmtId="0" fontId="6" fillId="36" borderId="20" xfId="0" applyFont="1" applyFill="1" applyBorder="1" applyAlignment="1" applyProtection="1">
      <alignment horizontal="left" vertical="center"/>
      <protection hidden="1"/>
    </xf>
    <xf numFmtId="43" fontId="63" fillId="36" borderId="26" xfId="0" applyNumberFormat="1" applyFont="1" applyFill="1" applyBorder="1" applyAlignment="1" applyProtection="1">
      <alignment horizontal="left" vertical="center"/>
      <protection hidden="1"/>
    </xf>
    <xf numFmtId="43" fontId="63" fillId="36" borderId="15" xfId="0" applyNumberFormat="1" applyFont="1" applyFill="1" applyBorder="1" applyAlignment="1" applyProtection="1">
      <alignment horizontal="left" vertical="center"/>
      <protection hidden="1"/>
    </xf>
    <xf numFmtId="43" fontId="6" fillId="36" borderId="1" xfId="4" applyNumberFormat="1" applyFont="1" applyFill="1" applyBorder="1" applyAlignment="1" applyProtection="1">
      <alignment horizontal="left" vertical="center"/>
      <protection hidden="1"/>
    </xf>
    <xf numFmtId="43" fontId="6" fillId="36" borderId="10" xfId="4" applyNumberFormat="1" applyFont="1" applyFill="1" applyBorder="1" applyAlignment="1" applyProtection="1">
      <alignment horizontal="left" vertical="center"/>
      <protection hidden="1"/>
    </xf>
    <xf numFmtId="43" fontId="63" fillId="36" borderId="1" xfId="0" applyNumberFormat="1" applyFont="1" applyFill="1" applyBorder="1" applyAlignment="1" applyProtection="1">
      <alignment horizontal="left" vertical="center"/>
      <protection hidden="1"/>
    </xf>
    <xf numFmtId="43" fontId="63" fillId="36" borderId="10" xfId="4" applyNumberFormat="1" applyFont="1" applyFill="1" applyBorder="1" applyAlignment="1" applyProtection="1">
      <alignment horizontal="left" vertical="center"/>
      <protection hidden="1"/>
    </xf>
    <xf numFmtId="43" fontId="5" fillId="36" borderId="15" xfId="0" applyNumberFormat="1" applyFont="1" applyFill="1" applyBorder="1" applyAlignment="1" applyProtection="1">
      <alignment horizontal="left" vertical="center"/>
      <protection hidden="1"/>
    </xf>
    <xf numFmtId="43" fontId="65" fillId="36" borderId="27" xfId="0" applyNumberFormat="1" applyFont="1" applyFill="1" applyBorder="1" applyAlignment="1" applyProtection="1">
      <alignment horizontal="left" vertical="center"/>
      <protection hidden="1"/>
    </xf>
    <xf numFmtId="0" fontId="6" fillId="36" borderId="27" xfId="0" applyFont="1" applyFill="1" applyBorder="1" applyAlignment="1" applyProtection="1">
      <alignment horizontal="left" vertical="center"/>
      <protection hidden="1"/>
    </xf>
    <xf numFmtId="43" fontId="65" fillId="36" borderId="30" xfId="0" applyNumberFormat="1" applyFont="1" applyFill="1" applyBorder="1" applyAlignment="1" applyProtection="1">
      <alignment horizontal="left" vertical="center"/>
      <protection hidden="1"/>
    </xf>
    <xf numFmtId="43" fontId="65" fillId="36" borderId="0" xfId="0" applyNumberFormat="1" applyFont="1" applyFill="1" applyAlignment="1" applyProtection="1">
      <alignment horizontal="left" vertical="center"/>
      <protection hidden="1"/>
    </xf>
    <xf numFmtId="0" fontId="1" fillId="36" borderId="0" xfId="0" applyFont="1" applyFill="1" applyAlignment="1" applyProtection="1">
      <alignment horizontal="left" vertical="center"/>
      <protection hidden="1"/>
    </xf>
    <xf numFmtId="43" fontId="6" fillId="36" borderId="0" xfId="0" applyNumberFormat="1" applyFont="1" applyFill="1" applyAlignment="1" applyProtection="1">
      <alignment horizontal="left" vertical="center"/>
      <protection hidden="1"/>
    </xf>
    <xf numFmtId="0" fontId="6" fillId="36" borderId="0" xfId="0" applyFont="1" applyFill="1" applyAlignment="1" applyProtection="1">
      <alignment horizontal="left" vertical="center"/>
      <protection hidden="1"/>
    </xf>
    <xf numFmtId="43" fontId="63" fillId="36" borderId="16" xfId="0" applyNumberFormat="1" applyFont="1" applyFill="1" applyBorder="1" applyAlignment="1" applyProtection="1">
      <alignment horizontal="left" vertical="center"/>
      <protection hidden="1"/>
    </xf>
    <xf numFmtId="0" fontId="6" fillId="36" borderId="16" xfId="0" applyFont="1" applyFill="1" applyBorder="1" applyAlignment="1" applyProtection="1">
      <alignment horizontal="left" vertical="center"/>
      <protection hidden="1"/>
    </xf>
    <xf numFmtId="43" fontId="63" fillId="36" borderId="28" xfId="0" applyNumberFormat="1" applyFont="1" applyFill="1" applyBorder="1" applyAlignment="1" applyProtection="1">
      <alignment horizontal="left" vertical="center"/>
      <protection hidden="1"/>
    </xf>
    <xf numFmtId="43" fontId="63" fillId="36" borderId="1" xfId="3" applyNumberFormat="1" applyFont="1" applyFill="1" applyBorder="1" applyAlignment="1" applyProtection="1">
      <alignment horizontal="left" vertical="center"/>
      <protection hidden="1"/>
    </xf>
    <xf numFmtId="43" fontId="63" fillId="36" borderId="10" xfId="0" applyNumberFormat="1" applyFont="1" applyFill="1" applyBorder="1" applyAlignment="1" applyProtection="1">
      <alignment horizontal="left" vertical="center"/>
      <protection hidden="1"/>
    </xf>
    <xf numFmtId="43" fontId="63" fillId="36" borderId="10" xfId="3" applyNumberFormat="1" applyFont="1" applyFill="1" applyBorder="1" applyAlignment="1" applyProtection="1">
      <alignment horizontal="left" vertical="center"/>
      <protection hidden="1"/>
    </xf>
    <xf numFmtId="43" fontId="5" fillId="36" borderId="27" xfId="3" applyNumberFormat="1" applyFont="1" applyFill="1" applyBorder="1" applyAlignment="1" applyProtection="1">
      <alignment horizontal="left" vertical="center"/>
      <protection hidden="1"/>
    </xf>
    <xf numFmtId="43" fontId="5" fillId="36" borderId="27" xfId="0" applyNumberFormat="1" applyFont="1" applyFill="1" applyBorder="1" applyAlignment="1" applyProtection="1">
      <alignment horizontal="left" vertical="center"/>
      <protection hidden="1"/>
    </xf>
    <xf numFmtId="43" fontId="5" fillId="36" borderId="30" xfId="3" applyNumberFormat="1" applyFont="1" applyFill="1" applyBorder="1" applyAlignment="1" applyProtection="1">
      <alignment horizontal="left" vertical="center"/>
      <protection hidden="1"/>
    </xf>
    <xf numFmtId="43" fontId="78" fillId="42" borderId="0" xfId="0" applyNumberFormat="1" applyFont="1" applyFill="1" applyAlignment="1" applyProtection="1">
      <alignment horizontal="left" vertical="center"/>
      <protection hidden="1"/>
    </xf>
    <xf numFmtId="43" fontId="66" fillId="42" borderId="0" xfId="5" applyNumberFormat="1" applyFont="1" applyFill="1" applyBorder="1" applyAlignment="1" applyProtection="1">
      <alignment horizontal="left" vertical="center"/>
      <protection hidden="1"/>
    </xf>
    <xf numFmtId="43" fontId="67" fillId="42" borderId="0" xfId="0" applyNumberFormat="1" applyFont="1" applyFill="1" applyAlignment="1" applyProtection="1">
      <alignment horizontal="left" vertical="center"/>
      <protection hidden="1"/>
    </xf>
    <xf numFmtId="0" fontId="1" fillId="42" borderId="0" xfId="0" applyFont="1" applyFill="1" applyAlignment="1" applyProtection="1">
      <alignment horizontal="left" vertical="center"/>
      <protection hidden="1"/>
    </xf>
    <xf numFmtId="0" fontId="6" fillId="42" borderId="0" xfId="0" applyFont="1" applyFill="1" applyAlignment="1" applyProtection="1">
      <alignment horizontal="left" vertical="center"/>
      <protection hidden="1"/>
    </xf>
    <xf numFmtId="0" fontId="6" fillId="36" borderId="28" xfId="0" applyFont="1" applyFill="1" applyBorder="1" applyAlignment="1" applyProtection="1">
      <alignment horizontal="left" vertical="center"/>
      <protection hidden="1"/>
    </xf>
    <xf numFmtId="43" fontId="6" fillId="36" borderId="1" xfId="5" applyNumberFormat="1" applyFont="1" applyFill="1" applyBorder="1" applyAlignment="1" applyProtection="1">
      <alignment horizontal="left" vertical="center"/>
      <protection hidden="1"/>
    </xf>
    <xf numFmtId="43" fontId="65" fillId="36" borderId="10" xfId="0" applyNumberFormat="1" applyFont="1" applyFill="1" applyBorder="1" applyAlignment="1" applyProtection="1">
      <alignment horizontal="left" vertical="center"/>
      <protection hidden="1"/>
    </xf>
    <xf numFmtId="43" fontId="63" fillId="36" borderId="1" xfId="5" applyNumberFormat="1" applyFont="1" applyFill="1" applyBorder="1" applyAlignment="1" applyProtection="1">
      <alignment horizontal="left" vertical="center"/>
      <protection hidden="1"/>
    </xf>
    <xf numFmtId="0" fontId="77" fillId="42" borderId="0" xfId="0" applyNumberFormat="1" applyFont="1" applyFill="1" applyAlignment="1">
      <alignment horizontal="left" vertical="center"/>
    </xf>
    <xf numFmtId="0" fontId="5" fillId="36" borderId="1" xfId="0" applyFont="1" applyFill="1" applyBorder="1" applyAlignment="1" applyProtection="1">
      <alignment horizontal="left" vertical="center"/>
      <protection hidden="1"/>
    </xf>
    <xf numFmtId="2" fontId="6" fillId="36" borderId="1" xfId="0" applyNumberFormat="1" applyFont="1" applyFill="1" applyBorder="1" applyAlignment="1" applyProtection="1">
      <alignment horizontal="left" vertical="center"/>
      <protection hidden="1"/>
    </xf>
    <xf numFmtId="0" fontId="67" fillId="36" borderId="1" xfId="0" applyFont="1" applyFill="1" applyBorder="1" applyAlignment="1" applyProtection="1">
      <alignment horizontal="left" vertical="center" wrapText="1"/>
      <protection hidden="1"/>
    </xf>
    <xf numFmtId="169" fontId="27" fillId="0" borderId="1" xfId="11" applyNumberFormat="1" applyFont="1" applyFill="1" applyBorder="1" applyAlignment="1" applyProtection="1">
      <alignment horizontal="left" vertical="center"/>
      <protection locked="0"/>
    </xf>
    <xf numFmtId="0" fontId="38" fillId="0" borderId="1" xfId="10" applyNumberFormat="1" applyFont="1" applyFill="1" applyBorder="1" applyAlignment="1">
      <alignment horizontal="left" vertical="center" wrapText="1"/>
    </xf>
    <xf numFmtId="169" fontId="38" fillId="0" borderId="1" xfId="11" applyNumberFormat="1" applyFont="1" applyFill="1" applyBorder="1" applyAlignment="1" applyProtection="1">
      <alignment horizontal="left" vertical="center" wrapText="1"/>
      <protection locked="0"/>
    </xf>
    <xf numFmtId="169" fontId="28" fillId="0" borderId="1" xfId="11" applyNumberFormat="1" applyFont="1" applyFill="1" applyBorder="1" applyAlignment="1" applyProtection="1">
      <alignment horizontal="left" vertical="center"/>
      <protection locked="0"/>
    </xf>
    <xf numFmtId="0" fontId="6" fillId="36" borderId="1" xfId="0" applyFont="1" applyFill="1" applyBorder="1" applyAlignment="1" applyProtection="1">
      <alignment horizontal="left" vertical="center" wrapText="1"/>
      <protection hidden="1"/>
    </xf>
    <xf numFmtId="1" fontId="28" fillId="0" borderId="1" xfId="0" applyNumberFormat="1" applyFont="1" applyBorder="1" applyAlignment="1">
      <alignment horizontal="left" vertical="center" wrapText="1"/>
    </xf>
    <xf numFmtId="0" fontId="28" fillId="0" borderId="1" xfId="0" applyNumberFormat="1" applyFont="1" applyBorder="1" applyAlignment="1">
      <alignment horizontal="left" vertical="center" wrapText="1"/>
    </xf>
    <xf numFmtId="0" fontId="55" fillId="0" borderId="0" xfId="0" applyNumberFormat="1" applyFont="1" applyFill="1" applyAlignment="1">
      <alignment horizontal="left" vertical="center"/>
    </xf>
    <xf numFmtId="0" fontId="53" fillId="0" borderId="31" xfId="0" applyNumberFormat="1" applyFont="1" applyFill="1" applyBorder="1" applyAlignment="1">
      <alignment horizontal="left" vertical="center" wrapText="1"/>
    </xf>
    <xf numFmtId="0" fontId="52" fillId="2" borderId="1" xfId="0" applyFont="1" applyFill="1" applyBorder="1" applyAlignment="1">
      <alignment horizontal="center" vertical="top" wrapText="1"/>
    </xf>
    <xf numFmtId="0" fontId="52" fillId="2" borderId="1" xfId="10" applyFont="1" applyFill="1" applyBorder="1" applyAlignment="1">
      <alignment horizontal="center" wrapText="1"/>
    </xf>
    <xf numFmtId="1" fontId="52" fillId="2" borderId="1" xfId="0" applyNumberFormat="1" applyFont="1" applyFill="1" applyBorder="1" applyAlignment="1">
      <alignment horizontal="center" vertical="top" wrapText="1"/>
    </xf>
    <xf numFmtId="1" fontId="52" fillId="2" borderId="18" xfId="0" applyNumberFormat="1" applyFont="1" applyFill="1" applyBorder="1" applyAlignment="1">
      <alignment horizontal="center" vertical="top" wrapText="1"/>
    </xf>
    <xf numFmtId="0" fontId="52" fillId="2" borderId="18" xfId="10" applyFont="1" applyFill="1" applyBorder="1" applyAlignment="1">
      <alignment horizontal="center" wrapText="1"/>
    </xf>
    <xf numFmtId="0" fontId="52" fillId="2" borderId="1" xfId="0" applyFont="1" applyFill="1" applyBorder="1" applyAlignment="1">
      <alignment horizontal="center" wrapText="1"/>
    </xf>
    <xf numFmtId="0" fontId="52" fillId="2" borderId="1" xfId="10" applyFont="1" applyFill="1" applyBorder="1" applyAlignment="1">
      <alignment horizontal="center"/>
    </xf>
    <xf numFmtId="0" fontId="52" fillId="2" borderId="1" xfId="0" applyNumberFormat="1" applyFont="1" applyFill="1" applyBorder="1" applyAlignment="1" applyProtection="1">
      <alignment horizontal="center"/>
    </xf>
    <xf numFmtId="0" fontId="52" fillId="2" borderId="1" xfId="11" applyNumberFormat="1" applyFont="1" applyFill="1" applyBorder="1" applyAlignment="1" applyProtection="1">
      <alignment horizontal="center"/>
    </xf>
    <xf numFmtId="0" fontId="87" fillId="2" borderId="1" xfId="0" applyNumberFormat="1" applyFont="1" applyFill="1" applyBorder="1" applyAlignment="1">
      <alignment horizontal="center"/>
    </xf>
    <xf numFmtId="0" fontId="52" fillId="2" borderId="1" xfId="0" applyNumberFormat="1" applyFont="1" applyFill="1" applyBorder="1" applyAlignment="1">
      <alignment horizontal="center" vertical="top" wrapText="1"/>
    </xf>
    <xf numFmtId="0" fontId="52" fillId="2" borderId="1" xfId="10" applyNumberFormat="1" applyFont="1" applyFill="1" applyBorder="1" applyAlignment="1">
      <alignment horizontal="center"/>
    </xf>
    <xf numFmtId="0" fontId="68" fillId="0" borderId="42" xfId="0" applyFont="1" applyFill="1" applyBorder="1" applyAlignment="1">
      <alignment horizontal="left" vertical="center" wrapText="1"/>
    </xf>
    <xf numFmtId="0" fontId="27" fillId="0" borderId="42" xfId="0" applyFont="1" applyFill="1" applyBorder="1" applyAlignment="1">
      <alignment horizontal="left" vertical="center" wrapText="1"/>
    </xf>
    <xf numFmtId="169" fontId="52" fillId="2" borderId="1" xfId="0" applyNumberFormat="1" applyFont="1" applyFill="1" applyBorder="1" applyAlignment="1" applyProtection="1">
      <alignment horizontal="left" vertical="center"/>
    </xf>
    <xf numFmtId="0" fontId="52" fillId="2" borderId="1" xfId="0" applyFont="1" applyFill="1" applyBorder="1" applyAlignment="1">
      <alignment horizontal="left" vertical="center" wrapText="1"/>
    </xf>
    <xf numFmtId="0" fontId="52" fillId="2" borderId="1" xfId="10" applyFont="1" applyFill="1" applyBorder="1" applyAlignment="1">
      <alignment horizontal="left" vertical="center" wrapText="1"/>
    </xf>
    <xf numFmtId="180" fontId="52" fillId="2" borderId="1" xfId="0" applyNumberFormat="1" applyFont="1" applyFill="1" applyBorder="1" applyAlignment="1">
      <alignment horizontal="left" vertical="center" wrapText="1"/>
    </xf>
    <xf numFmtId="169" fontId="87" fillId="2" borderId="1" xfId="0" applyNumberFormat="1" applyFont="1" applyFill="1" applyBorder="1" applyAlignment="1">
      <alignment horizontal="left" vertical="center"/>
    </xf>
    <xf numFmtId="4" fontId="52" fillId="2" borderId="1" xfId="0" applyNumberFormat="1" applyFont="1" applyFill="1" applyBorder="1" applyAlignment="1" applyProtection="1">
      <alignment horizontal="left" vertical="center" wrapText="1"/>
    </xf>
    <xf numFmtId="169" fontId="52" fillId="2" borderId="1" xfId="0" applyNumberFormat="1" applyFont="1" applyFill="1" applyBorder="1" applyAlignment="1">
      <alignment horizontal="left" vertical="center" wrapText="1"/>
    </xf>
    <xf numFmtId="169" fontId="52" fillId="2" borderId="1" xfId="10" applyNumberFormat="1" applyFont="1" applyFill="1" applyBorder="1" applyAlignment="1">
      <alignment horizontal="left" vertical="center"/>
    </xf>
    <xf numFmtId="0" fontId="27" fillId="0" borderId="1" xfId="0" applyFont="1" applyFill="1" applyBorder="1" applyAlignment="1">
      <alignment horizontal="left" vertical="center" wrapText="1"/>
    </xf>
    <xf numFmtId="0" fontId="36" fillId="2" borderId="1" xfId="0" applyFont="1" applyFill="1" applyBorder="1" applyAlignment="1">
      <alignment horizontal="left" vertical="center"/>
    </xf>
    <xf numFmtId="0" fontId="27" fillId="2" borderId="1" xfId="0" applyFont="1" applyFill="1" applyBorder="1" applyAlignment="1">
      <alignment horizontal="left" vertical="center" wrapText="1"/>
    </xf>
    <xf numFmtId="0" fontId="43" fillId="0" borderId="0" xfId="0" applyFont="1" applyFill="1" applyAlignment="1">
      <alignment horizontal="left" vertical="center"/>
    </xf>
    <xf numFmtId="0" fontId="43" fillId="0" borderId="1" xfId="0" applyFont="1" applyFill="1" applyBorder="1" applyAlignment="1">
      <alignment horizontal="left" vertical="center"/>
    </xf>
    <xf numFmtId="10" fontId="43" fillId="2" borderId="1" xfId="0" applyNumberFormat="1" applyFont="1" applyFill="1" applyBorder="1" applyAlignment="1">
      <alignment horizontal="left" vertical="center"/>
    </xf>
    <xf numFmtId="169" fontId="27" fillId="36" borderId="1" xfId="0" applyNumberFormat="1" applyFont="1" applyFill="1" applyBorder="1" applyAlignment="1">
      <alignment horizontal="left" vertical="center"/>
    </xf>
    <xf numFmtId="169" fontId="6" fillId="36" borderId="1" xfId="0" applyNumberFormat="1" applyFont="1" applyFill="1" applyBorder="1" applyAlignment="1" applyProtection="1">
      <alignment horizontal="left" vertical="center" wrapText="1"/>
      <protection hidden="1"/>
    </xf>
    <xf numFmtId="169" fontId="6" fillId="5" borderId="1" xfId="0" applyNumberFormat="1" applyFont="1" applyFill="1" applyBorder="1" applyAlignment="1" applyProtection="1">
      <alignment horizontal="left" vertical="center"/>
      <protection hidden="1"/>
    </xf>
    <xf numFmtId="4" fontId="55" fillId="0" borderId="0" xfId="0" applyNumberFormat="1" applyFont="1" applyAlignment="1">
      <alignment horizontal="left" vertical="center"/>
    </xf>
    <xf numFmtId="169" fontId="6" fillId="42" borderId="0" xfId="0" applyNumberFormat="1" applyFont="1" applyFill="1" applyAlignment="1" applyProtection="1">
      <alignment horizontal="left" vertical="center"/>
      <protection hidden="1"/>
    </xf>
    <xf numFmtId="0" fontId="28" fillId="2" borderId="1" xfId="10" applyFont="1" applyFill="1" applyBorder="1" applyAlignment="1">
      <alignment horizontal="center" wrapText="1"/>
    </xf>
    <xf numFmtId="169" fontId="26" fillId="17" borderId="31" xfId="0" applyNumberFormat="1" applyFont="1" applyFill="1" applyBorder="1" applyAlignment="1">
      <alignment horizontal="left" vertical="center" shrinkToFit="1"/>
    </xf>
    <xf numFmtId="169" fontId="26" fillId="17" borderId="42" xfId="0" applyNumberFormat="1" applyFont="1" applyFill="1" applyBorder="1" applyAlignment="1">
      <alignment horizontal="left" vertical="center" shrinkToFit="1"/>
    </xf>
    <xf numFmtId="169" fontId="38" fillId="6" borderId="1" xfId="10" applyNumberFormat="1" applyFont="1" applyFill="1" applyBorder="1" applyAlignment="1">
      <alignment horizontal="left" vertical="center" wrapText="1"/>
    </xf>
    <xf numFmtId="169" fontId="38" fillId="6" borderId="1" xfId="11" applyNumberFormat="1" applyFont="1" applyFill="1" applyBorder="1" applyAlignment="1" applyProtection="1">
      <alignment horizontal="left" vertical="center"/>
      <protection locked="0"/>
    </xf>
    <xf numFmtId="169" fontId="52" fillId="0" borderId="1" xfId="11" applyNumberFormat="1" applyFont="1" applyFill="1" applyBorder="1" applyAlignment="1" applyProtection="1">
      <alignment horizontal="left" vertical="center"/>
      <protection locked="0"/>
    </xf>
    <xf numFmtId="169" fontId="52" fillId="0" borderId="1" xfId="0" applyNumberFormat="1" applyFont="1" applyFill="1" applyBorder="1" applyAlignment="1" applyProtection="1">
      <alignment horizontal="left" vertical="center"/>
      <protection locked="0"/>
    </xf>
    <xf numFmtId="169" fontId="72" fillId="0" borderId="1" xfId="0" applyNumberFormat="1" applyFont="1" applyFill="1" applyBorder="1" applyAlignment="1" applyProtection="1">
      <alignment horizontal="left" vertical="center"/>
      <protection locked="0"/>
    </xf>
    <xf numFmtId="169" fontId="92" fillId="35" borderId="0" xfId="14" applyNumberFormat="1" applyFont="1" applyFill="1" applyBorder="1" applyAlignment="1">
      <alignment horizontal="left" vertical="top"/>
    </xf>
    <xf numFmtId="169" fontId="93" fillId="35" borderId="0" xfId="14" applyNumberFormat="1" applyFont="1" applyFill="1" applyBorder="1" applyAlignment="1">
      <alignment horizontal="center" vertical="top"/>
    </xf>
    <xf numFmtId="169" fontId="43" fillId="35" borderId="0" xfId="0" applyNumberFormat="1" applyFont="1" applyFill="1" applyBorder="1"/>
    <xf numFmtId="169" fontId="93" fillId="55" borderId="5" xfId="14" applyNumberFormat="1" applyFont="1" applyFill="1" applyBorder="1" applyAlignment="1">
      <alignment horizontal="center"/>
    </xf>
    <xf numFmtId="169" fontId="93" fillId="55" borderId="0" xfId="14" applyNumberFormat="1" applyFont="1" applyFill="1" applyBorder="1" applyAlignment="1">
      <alignment horizontal="center"/>
    </xf>
    <xf numFmtId="169" fontId="93" fillId="55" borderId="6" xfId="14" applyNumberFormat="1" applyFont="1" applyFill="1" applyBorder="1" applyAlignment="1">
      <alignment horizontal="center"/>
    </xf>
    <xf numFmtId="169" fontId="93" fillId="59" borderId="0" xfId="14" applyNumberFormat="1" applyFont="1" applyFill="1" applyBorder="1" applyAlignment="1">
      <alignment horizontal="center"/>
    </xf>
    <xf numFmtId="169" fontId="93" fillId="35" borderId="6" xfId="14" applyNumberFormat="1" applyFont="1" applyFill="1" applyBorder="1" applyAlignment="1">
      <alignment horizontal="center" vertical="top"/>
    </xf>
    <xf numFmtId="169" fontId="92" fillId="59" borderId="5" xfId="14" applyNumberFormat="1" applyFont="1" applyFill="1" applyBorder="1" applyAlignment="1"/>
    <xf numFmtId="169" fontId="92" fillId="59" borderId="0" xfId="14" applyNumberFormat="1" applyFont="1" applyFill="1" applyBorder="1" applyAlignment="1">
      <alignment horizontal="center"/>
    </xf>
    <xf numFmtId="169" fontId="92" fillId="59" borderId="6" xfId="14" applyNumberFormat="1" applyFont="1" applyFill="1" applyBorder="1" applyAlignment="1">
      <alignment horizontal="center"/>
    </xf>
    <xf numFmtId="169" fontId="92" fillId="65" borderId="5" xfId="14" applyNumberFormat="1" applyFont="1" applyFill="1" applyBorder="1" applyAlignment="1"/>
    <xf numFmtId="169" fontId="93" fillId="65" borderId="0" xfId="14" applyNumberFormat="1" applyFont="1" applyFill="1" applyBorder="1" applyAlignment="1">
      <alignment horizontal="center"/>
    </xf>
    <xf numFmtId="169" fontId="93" fillId="65" borderId="6" xfId="14" applyNumberFormat="1" applyFont="1" applyFill="1" applyBorder="1" applyAlignment="1">
      <alignment horizontal="center"/>
    </xf>
    <xf numFmtId="169" fontId="93" fillId="59" borderId="5" xfId="14" applyNumberFormat="1" applyFont="1" applyFill="1" applyBorder="1" applyAlignment="1"/>
    <xf numFmtId="165" fontId="28" fillId="43" borderId="31" xfId="0" applyNumberFormat="1" applyFont="1" applyFill="1" applyBorder="1" applyAlignment="1">
      <alignment horizontal="left" vertical="center"/>
    </xf>
    <xf numFmtId="167" fontId="28" fillId="21" borderId="1" xfId="0" applyNumberFormat="1" applyFont="1" applyFill="1" applyBorder="1" applyAlignment="1">
      <alignment horizontal="center" vertical="center" shrinkToFit="1"/>
    </xf>
    <xf numFmtId="167" fontId="104" fillId="38" borderId="0" xfId="0" applyNumberFormat="1" applyFont="1" applyFill="1" applyAlignment="1">
      <alignment horizontal="center" vertical="center"/>
    </xf>
    <xf numFmtId="0" fontId="136" fillId="0" borderId="0" xfId="0" applyFont="1" applyAlignment="1"/>
    <xf numFmtId="0" fontId="137" fillId="0" borderId="0" xfId="0" applyFont="1" applyAlignment="1"/>
    <xf numFmtId="167" fontId="137" fillId="0" borderId="0" xfId="0" applyNumberFormat="1" applyFont="1" applyAlignment="1"/>
    <xf numFmtId="167" fontId="136" fillId="0" borderId="0" xfId="0" applyNumberFormat="1" applyFont="1" applyAlignment="1"/>
    <xf numFmtId="0" fontId="141" fillId="0" borderId="0" xfId="0" applyFont="1"/>
    <xf numFmtId="0" fontId="141" fillId="66" borderId="1" xfId="0" applyFont="1" applyFill="1" applyBorder="1" applyAlignment="1">
      <alignment horizontal="center"/>
    </xf>
    <xf numFmtId="0" fontId="142" fillId="66" borderId="1" xfId="0" applyFont="1" applyFill="1" applyBorder="1"/>
    <xf numFmtId="0" fontId="142" fillId="66" borderId="1" xfId="0" applyFont="1" applyFill="1" applyBorder="1" applyAlignment="1">
      <alignment horizontal="center"/>
    </xf>
    <xf numFmtId="0" fontId="142" fillId="9" borderId="1" xfId="0" applyFont="1" applyFill="1" applyBorder="1" applyAlignment="1">
      <alignment horizontal="center"/>
    </xf>
    <xf numFmtId="0" fontId="142" fillId="60" borderId="1" xfId="0" applyFont="1" applyFill="1" applyBorder="1" applyAlignment="1">
      <alignment horizontal="center"/>
    </xf>
    <xf numFmtId="0" fontId="142" fillId="54" borderId="1" xfId="0" applyFont="1" applyFill="1" applyBorder="1" applyAlignment="1">
      <alignment horizontal="center"/>
    </xf>
    <xf numFmtId="0" fontId="142" fillId="54" borderId="1" xfId="0" applyFont="1" applyFill="1" applyBorder="1"/>
    <xf numFmtId="0" fontId="141" fillId="54" borderId="1" xfId="0" applyFont="1" applyFill="1" applyBorder="1"/>
    <xf numFmtId="0" fontId="141" fillId="66" borderId="1" xfId="0" applyFont="1" applyFill="1" applyBorder="1"/>
    <xf numFmtId="0" fontId="141" fillId="54" borderId="1" xfId="0" applyFont="1" applyFill="1" applyBorder="1" applyAlignment="1">
      <alignment horizontal="center"/>
    </xf>
    <xf numFmtId="0" fontId="141" fillId="9" borderId="1" xfId="0" applyFont="1" applyFill="1" applyBorder="1" applyAlignment="1">
      <alignment horizontal="center"/>
    </xf>
    <xf numFmtId="0" fontId="141" fillId="60" borderId="1" xfId="0" applyFont="1" applyFill="1" applyBorder="1" applyAlignment="1">
      <alignment horizontal="center"/>
    </xf>
    <xf numFmtId="0" fontId="141" fillId="67" borderId="1" xfId="0" applyFont="1" applyFill="1" applyBorder="1"/>
    <xf numFmtId="0" fontId="141" fillId="9" borderId="1" xfId="0" applyFont="1" applyFill="1" applyBorder="1"/>
    <xf numFmtId="0" fontId="141" fillId="60" borderId="1" xfId="0" applyFont="1" applyFill="1" applyBorder="1"/>
    <xf numFmtId="0" fontId="141" fillId="67" borderId="1" xfId="0" applyFont="1" applyFill="1" applyBorder="1" applyAlignment="1">
      <alignment horizontal="center"/>
    </xf>
    <xf numFmtId="0" fontId="141" fillId="0" borderId="1" xfId="0" applyFont="1" applyBorder="1" applyAlignment="1">
      <alignment horizontal="center"/>
    </xf>
    <xf numFmtId="0" fontId="141" fillId="0" borderId="1" xfId="0" applyFont="1" applyBorder="1"/>
    <xf numFmtId="0" fontId="141" fillId="0" borderId="0" xfId="0" applyFont="1" applyAlignment="1">
      <alignment horizontal="center"/>
    </xf>
    <xf numFmtId="0" fontId="143" fillId="60" borderId="72" xfId="0" applyFont="1" applyFill="1" applyBorder="1"/>
    <xf numFmtId="0" fontId="143" fillId="60" borderId="72" xfId="0" applyFont="1" applyFill="1" applyBorder="1" applyAlignment="1">
      <alignment horizontal="center"/>
    </xf>
    <xf numFmtId="0" fontId="143" fillId="60" borderId="73" xfId="0" applyFont="1" applyFill="1" applyBorder="1"/>
    <xf numFmtId="0" fontId="141" fillId="0" borderId="17" xfId="0" applyFont="1" applyBorder="1" applyAlignment="1">
      <alignment horizontal="center"/>
    </xf>
    <xf numFmtId="0" fontId="141" fillId="0" borderId="10" xfId="0" applyFont="1" applyBorder="1"/>
    <xf numFmtId="0" fontId="141" fillId="0" borderId="17" xfId="0" applyFont="1" applyBorder="1" applyAlignment="1">
      <alignment horizontal="left"/>
    </xf>
    <xf numFmtId="0" fontId="140" fillId="0" borderId="10" xfId="0" applyFont="1" applyBorder="1"/>
    <xf numFmtId="0" fontId="79" fillId="0" borderId="7" xfId="0" applyFont="1" applyBorder="1" applyAlignment="1">
      <alignment horizontal="left"/>
    </xf>
    <xf numFmtId="0" fontId="141" fillId="0" borderId="8" xfId="0" applyFont="1" applyBorder="1"/>
    <xf numFmtId="0" fontId="141" fillId="0" borderId="8" xfId="0" applyFont="1" applyBorder="1" applyAlignment="1">
      <alignment horizontal="center"/>
    </xf>
    <xf numFmtId="0" fontId="140" fillId="0" borderId="9" xfId="0" applyFont="1" applyBorder="1"/>
    <xf numFmtId="0" fontId="79" fillId="60" borderId="71" xfId="0" applyFont="1" applyFill="1" applyBorder="1" applyAlignment="1">
      <alignment horizontal="left"/>
    </xf>
    <xf numFmtId="0" fontId="141" fillId="7" borderId="1" xfId="0" applyFont="1" applyFill="1" applyBorder="1" applyAlignment="1">
      <alignment horizontal="center"/>
    </xf>
    <xf numFmtId="0" fontId="141" fillId="7" borderId="1" xfId="0" applyFont="1" applyFill="1" applyBorder="1"/>
    <xf numFmtId="0" fontId="142" fillId="7" borderId="1" xfId="0" applyFont="1" applyFill="1" applyBorder="1" applyAlignment="1">
      <alignment horizontal="center"/>
    </xf>
    <xf numFmtId="0" fontId="141" fillId="68" borderId="1" xfId="0" applyFont="1" applyFill="1" applyBorder="1" applyAlignment="1">
      <alignment horizontal="center"/>
    </xf>
    <xf numFmtId="0" fontId="141" fillId="68" borderId="1" xfId="0" applyFont="1" applyFill="1" applyBorder="1"/>
    <xf numFmtId="0" fontId="141" fillId="0" borderId="0" xfId="0" applyFont="1" applyAlignment="1">
      <alignment horizontal="left" vertical="center"/>
    </xf>
    <xf numFmtId="0" fontId="146" fillId="0" borderId="0" xfId="0" applyFont="1"/>
    <xf numFmtId="171" fontId="14" fillId="30" borderId="12" xfId="0" applyNumberFormat="1" applyFont="1" applyFill="1" applyBorder="1" applyAlignment="1">
      <alignment horizontal="center"/>
    </xf>
    <xf numFmtId="0" fontId="14" fillId="30" borderId="12" xfId="0" applyFont="1" applyFill="1" applyBorder="1" applyAlignment="1">
      <alignment horizontal="center"/>
    </xf>
    <xf numFmtId="0" fontId="14" fillId="30" borderId="13" xfId="0" applyFont="1" applyFill="1" applyBorder="1" applyAlignment="1">
      <alignment horizontal="center"/>
    </xf>
    <xf numFmtId="0" fontId="4" fillId="30" borderId="0" xfId="0" applyFont="1" applyFill="1" applyAlignment="1"/>
    <xf numFmtId="0" fontId="117" fillId="30" borderId="11" xfId="0" applyFont="1" applyFill="1" applyBorder="1" applyAlignment="1" applyProtection="1">
      <alignment horizontal="center" vertical="center" shrinkToFit="1"/>
      <protection locked="0"/>
    </xf>
    <xf numFmtId="0" fontId="118" fillId="30" borderId="12" xfId="0" applyFont="1" applyFill="1" applyBorder="1" applyAlignment="1"/>
    <xf numFmtId="0" fontId="118" fillId="30" borderId="13" xfId="0" applyFont="1" applyFill="1" applyBorder="1" applyAlignment="1"/>
    <xf numFmtId="0" fontId="20" fillId="30" borderId="2" xfId="0" applyFont="1" applyFill="1" applyBorder="1" applyAlignment="1"/>
    <xf numFmtId="0" fontId="0" fillId="30" borderId="3" xfId="0" applyFill="1" applyBorder="1" applyAlignment="1"/>
    <xf numFmtId="169" fontId="12" fillId="30" borderId="7" xfId="0" applyNumberFormat="1" applyFont="1" applyFill="1" applyBorder="1" applyAlignment="1">
      <alignment horizontal="left" wrapText="1"/>
    </xf>
    <xf numFmtId="0" fontId="0" fillId="30" borderId="8" xfId="0" applyFill="1" applyBorder="1" applyAlignment="1"/>
    <xf numFmtId="0" fontId="14" fillId="30" borderId="11" xfId="0" applyFont="1" applyFill="1" applyBorder="1" applyAlignment="1"/>
    <xf numFmtId="0" fontId="54" fillId="30" borderId="12" xfId="0" applyFont="1" applyFill="1" applyBorder="1" applyAlignment="1"/>
    <xf numFmtId="0" fontId="31" fillId="25" borderId="36" xfId="0" applyNumberFormat="1" applyFont="1" applyFill="1" applyBorder="1" applyAlignment="1">
      <alignment horizontal="center" shrinkToFit="1"/>
    </xf>
    <xf numFmtId="0" fontId="31" fillId="25" borderId="37" xfId="0" applyNumberFormat="1" applyFont="1" applyFill="1" applyBorder="1" applyAlignment="1">
      <alignment horizontal="center" shrinkToFit="1"/>
    </xf>
    <xf numFmtId="169" fontId="26" fillId="17" borderId="31" xfId="0" applyNumberFormat="1" applyFont="1" applyFill="1" applyBorder="1" applyAlignment="1">
      <alignment horizontal="center" shrinkToFit="1"/>
    </xf>
    <xf numFmtId="169" fontId="53" fillId="18" borderId="1" xfId="0" applyNumberFormat="1" applyFont="1" applyFill="1" applyBorder="1" applyAlignment="1">
      <alignment horizontal="center" vertical="center" shrinkToFit="1"/>
    </xf>
    <xf numFmtId="0" fontId="53" fillId="26" borderId="8" xfId="0" applyFont="1" applyFill="1" applyBorder="1" applyAlignment="1">
      <alignment horizontal="center" vertical="center"/>
    </xf>
    <xf numFmtId="0" fontId="85" fillId="3" borderId="22" xfId="0" applyFont="1" applyFill="1" applyBorder="1" applyAlignment="1">
      <alignment horizontal="center"/>
    </xf>
    <xf numFmtId="0" fontId="86" fillId="0" borderId="22" xfId="0" applyFont="1" applyBorder="1" applyAlignment="1">
      <alignment horizontal="center"/>
    </xf>
    <xf numFmtId="0" fontId="134" fillId="38" borderId="22" xfId="0" applyFont="1" applyFill="1" applyBorder="1" applyAlignment="1">
      <alignment horizontal="left" vertical="center" shrinkToFit="1"/>
    </xf>
    <xf numFmtId="0" fontId="135" fillId="0" borderId="22" xfId="0" applyFont="1" applyBorder="1" applyAlignment="1">
      <alignment vertical="center" shrinkToFit="1"/>
    </xf>
    <xf numFmtId="0" fontId="63" fillId="6" borderId="1" xfId="0" applyFont="1" applyFill="1" applyBorder="1" applyAlignment="1" applyProtection="1">
      <alignment horizontal="left" vertical="center" wrapText="1"/>
      <protection hidden="1"/>
    </xf>
    <xf numFmtId="0" fontId="64" fillId="6" borderId="1" xfId="0" applyFont="1" applyFill="1" applyBorder="1" applyAlignment="1" applyProtection="1">
      <alignment horizontal="left" vertical="center"/>
      <protection hidden="1"/>
    </xf>
    <xf numFmtId="0" fontId="6" fillId="36" borderId="1" xfId="0" applyFont="1" applyFill="1" applyBorder="1" applyAlignment="1" applyProtection="1">
      <alignment horizontal="left" vertical="center" wrapText="1"/>
      <protection hidden="1"/>
    </xf>
    <xf numFmtId="0" fontId="62" fillId="0" borderId="1" xfId="0" applyFont="1" applyBorder="1" applyAlignment="1" applyProtection="1">
      <alignment horizontal="left" vertical="center"/>
      <protection hidden="1"/>
    </xf>
    <xf numFmtId="0" fontId="31" fillId="25" borderId="36" xfId="0" applyNumberFormat="1" applyFont="1" applyFill="1" applyBorder="1" applyAlignment="1">
      <alignment horizontal="left" vertical="center" shrinkToFit="1"/>
    </xf>
    <xf numFmtId="0" fontId="31" fillId="25" borderId="37" xfId="0" applyNumberFormat="1" applyFont="1" applyFill="1" applyBorder="1" applyAlignment="1">
      <alignment horizontal="left" vertical="center" shrinkToFit="1"/>
    </xf>
    <xf numFmtId="0" fontId="76" fillId="42" borderId="1" xfId="0" applyFont="1" applyFill="1" applyBorder="1" applyAlignment="1" applyProtection="1">
      <alignment horizontal="left" vertical="center" wrapText="1"/>
      <protection hidden="1"/>
    </xf>
    <xf numFmtId="0" fontId="79" fillId="42" borderId="1" xfId="0" applyFont="1" applyFill="1" applyBorder="1" applyAlignment="1" applyProtection="1">
      <alignment horizontal="left" vertical="center"/>
      <protection hidden="1"/>
    </xf>
    <xf numFmtId="0" fontId="5" fillId="36" borderId="1" xfId="0" applyFont="1" applyFill="1" applyBorder="1" applyAlignment="1" applyProtection="1">
      <alignment horizontal="left" vertical="center" wrapText="1"/>
      <protection hidden="1"/>
    </xf>
    <xf numFmtId="0" fontId="61" fillId="36" borderId="1" xfId="0" applyFont="1" applyFill="1" applyBorder="1" applyAlignment="1" applyProtection="1">
      <alignment horizontal="left" vertical="center"/>
      <protection hidden="1"/>
    </xf>
    <xf numFmtId="0" fontId="26" fillId="17" borderId="31" xfId="0" applyNumberFormat="1" applyFont="1" applyFill="1" applyBorder="1" applyAlignment="1">
      <alignment horizontal="left" vertical="center" shrinkToFit="1"/>
    </xf>
    <xf numFmtId="169" fontId="53" fillId="18" borderId="1" xfId="0" applyNumberFormat="1" applyFont="1" applyFill="1" applyBorder="1" applyAlignment="1">
      <alignment horizontal="left" vertical="center" shrinkToFit="1"/>
    </xf>
    <xf numFmtId="0" fontId="85" fillId="0" borderId="0" xfId="0" applyNumberFormat="1" applyFont="1" applyAlignment="1">
      <alignment horizontal="center"/>
    </xf>
    <xf numFmtId="0" fontId="26" fillId="14" borderId="2" xfId="0" applyFont="1" applyFill="1" applyBorder="1" applyAlignment="1">
      <alignment horizontal="center"/>
    </xf>
    <xf numFmtId="0" fontId="26" fillId="14" borderId="3" xfId="0" applyFont="1" applyFill="1" applyBorder="1" applyAlignment="1">
      <alignment horizontal="center"/>
    </xf>
    <xf numFmtId="0" fontId="26" fillId="14" borderId="4" xfId="0" applyFont="1" applyFill="1" applyBorder="1" applyAlignment="1">
      <alignment horizontal="center"/>
    </xf>
    <xf numFmtId="0" fontId="96" fillId="6" borderId="2" xfId="0" applyFont="1" applyFill="1" applyBorder="1" applyAlignment="1">
      <alignment horizontal="center"/>
    </xf>
    <xf numFmtId="0" fontId="96" fillId="6" borderId="3" xfId="0" applyFont="1" applyFill="1" applyBorder="1" applyAlignment="1">
      <alignment horizontal="center"/>
    </xf>
    <xf numFmtId="0" fontId="96" fillId="6" borderId="4" xfId="0" applyFont="1" applyFill="1" applyBorder="1" applyAlignment="1">
      <alignment horizontal="center"/>
    </xf>
    <xf numFmtId="0" fontId="95" fillId="35" borderId="5" xfId="0" applyFont="1" applyFill="1" applyBorder="1" applyAlignment="1">
      <alignment horizontal="center"/>
    </xf>
    <xf numFmtId="0" fontId="95" fillId="35" borderId="0" xfId="0" applyFont="1" applyFill="1" applyBorder="1" applyAlignment="1">
      <alignment horizontal="center"/>
    </xf>
    <xf numFmtId="0" fontId="95" fillId="35" borderId="6" xfId="0" applyFont="1" applyFill="1" applyBorder="1" applyAlignment="1">
      <alignment horizontal="center"/>
    </xf>
    <xf numFmtId="169" fontId="100" fillId="5" borderId="66" xfId="0" applyNumberFormat="1" applyFont="1" applyFill="1" applyBorder="1" applyAlignment="1"/>
    <xf numFmtId="169" fontId="102" fillId="5" borderId="60" xfId="0" applyNumberFormat="1" applyFont="1" applyFill="1" applyBorder="1" applyAlignment="1">
      <alignment wrapText="1"/>
    </xf>
    <xf numFmtId="0" fontId="99" fillId="0" borderId="60" xfId="0" applyFont="1" applyBorder="1" applyAlignment="1"/>
    <xf numFmtId="0" fontId="99" fillId="0" borderId="67" xfId="0" applyFont="1" applyBorder="1" applyAlignment="1"/>
    <xf numFmtId="0" fontId="51" fillId="13" borderId="1" xfId="0" applyFont="1" applyFill="1" applyBorder="1" applyAlignment="1">
      <alignment horizontal="center"/>
    </xf>
    <xf numFmtId="0" fontId="43" fillId="0" borderId="1" xfId="0" applyFont="1" applyBorder="1" applyAlignment="1">
      <alignment horizontal="center"/>
    </xf>
    <xf numFmtId="0" fontId="83" fillId="13" borderId="1" xfId="0" applyFont="1" applyFill="1" applyBorder="1" applyAlignment="1">
      <alignment horizontal="center"/>
    </xf>
    <xf numFmtId="169" fontId="51" fillId="51" borderId="1" xfId="0" applyNumberFormat="1" applyFont="1" applyFill="1" applyBorder="1" applyAlignment="1" applyProtection="1">
      <alignment horizontal="left" vertical="center"/>
      <protection locked="0"/>
    </xf>
    <xf numFmtId="9" fontId="52" fillId="50" borderId="1" xfId="1" applyFont="1" applyFill="1" applyBorder="1" applyAlignment="1"/>
    <xf numFmtId="169" fontId="52" fillId="51" borderId="1" xfId="0" applyNumberFormat="1" applyFont="1" applyFill="1" applyBorder="1" applyAlignment="1"/>
    <xf numFmtId="0" fontId="52" fillId="36" borderId="55" xfId="0" applyFont="1" applyFill="1" applyBorder="1" applyAlignment="1">
      <alignment horizontal="left" vertical="top" wrapText="1"/>
    </xf>
    <xf numFmtId="0" fontId="52" fillId="36" borderId="18" xfId="0" applyFont="1" applyFill="1" applyBorder="1" applyAlignment="1">
      <alignment horizontal="left" vertical="top" wrapText="1"/>
    </xf>
    <xf numFmtId="0" fontId="52" fillId="36" borderId="19" xfId="0" applyFont="1" applyFill="1" applyBorder="1" applyAlignment="1">
      <alignment horizontal="left" vertical="top" wrapText="1"/>
    </xf>
    <xf numFmtId="0" fontId="52" fillId="36" borderId="1" xfId="0" applyFont="1" applyFill="1" applyBorder="1" applyAlignment="1">
      <alignment horizontal="left" vertical="top" wrapText="1"/>
    </xf>
    <xf numFmtId="0" fontId="51" fillId="36" borderId="1" xfId="0" applyFont="1" applyFill="1" applyBorder="1" applyAlignment="1">
      <alignment horizontal="center" vertical="center"/>
    </xf>
    <xf numFmtId="0" fontId="52" fillId="36" borderId="1" xfId="0" applyFont="1" applyFill="1" applyBorder="1" applyAlignment="1">
      <alignment horizontal="center" vertical="center"/>
    </xf>
    <xf numFmtId="10" fontId="13" fillId="0" borderId="1" xfId="1" applyNumberFormat="1" applyFont="1" applyBorder="1" applyAlignment="1">
      <alignment horizontal="center"/>
    </xf>
    <xf numFmtId="0" fontId="17" fillId="16" borderId="0" xfId="0" applyFont="1" applyFill="1" applyAlignment="1">
      <alignment horizontal="center"/>
    </xf>
    <xf numFmtId="0" fontId="8" fillId="16" borderId="0" xfId="0" applyFont="1" applyFill="1" applyAlignment="1">
      <alignment horizontal="center" vertical="center" wrapText="1"/>
    </xf>
    <xf numFmtId="0" fontId="8" fillId="0" borderId="1" xfId="8" applyFont="1" applyFill="1" applyBorder="1" applyAlignment="1" applyProtection="1">
      <alignment horizontal="center" vertical="center"/>
      <protection hidden="1"/>
    </xf>
    <xf numFmtId="9" fontId="3" fillId="2" borderId="1" xfId="0" applyNumberFormat="1" applyFont="1" applyFill="1" applyBorder="1" applyAlignment="1" applyProtection="1">
      <alignment horizontal="center"/>
      <protection locked="0"/>
    </xf>
    <xf numFmtId="0" fontId="27" fillId="0" borderId="0" xfId="0" applyNumberFormat="1" applyFont="1" applyFill="1" applyBorder="1" applyAlignment="1">
      <alignment vertical="center" wrapText="1"/>
    </xf>
    <xf numFmtId="0" fontId="26" fillId="0" borderId="0" xfId="0" applyNumberFormat="1" applyFont="1" applyFill="1" applyBorder="1" applyAlignment="1">
      <alignment horizontal="left" vertical="top" shrinkToFit="1"/>
    </xf>
    <xf numFmtId="0" fontId="104" fillId="0" borderId="0" xfId="0" applyNumberFormat="1" applyFont="1" applyFill="1" applyBorder="1" applyAlignment="1">
      <alignment horizontal="left" vertical="top" shrinkToFit="1"/>
    </xf>
    <xf numFmtId="0" fontId="52" fillId="0" borderId="0" xfId="0" applyFont="1" applyFill="1" applyBorder="1" applyAlignment="1">
      <alignment vertical="top" wrapText="1"/>
    </xf>
    <xf numFmtId="169" fontId="133" fillId="0" borderId="1" xfId="0" applyNumberFormat="1" applyFont="1" applyFill="1" applyBorder="1" applyAlignment="1">
      <alignment horizontal="center" vertical="center" shrinkToFit="1"/>
    </xf>
    <xf numFmtId="168" fontId="144" fillId="0" borderId="22" xfId="0" applyNumberFormat="1" applyFont="1" applyBorder="1" applyAlignment="1">
      <alignment horizontal="center"/>
    </xf>
    <xf numFmtId="168" fontId="144" fillId="0" borderId="22" xfId="0" applyNumberFormat="1" applyFont="1" applyBorder="1" applyAlignment="1"/>
    <xf numFmtId="168" fontId="145" fillId="0" borderId="22" xfId="0" applyNumberFormat="1" applyFont="1" applyBorder="1" applyAlignment="1"/>
  </cellXfs>
  <cellStyles count="15">
    <cellStyle name="Euro" xfId="2"/>
    <cellStyle name="Excel_BuiltIn_Comma" xfId="11"/>
    <cellStyle name="Excel_BuiltIn_Hyperlink" xfId="12"/>
    <cellStyle name="Excel_BuiltIn_Percent" xfId="13"/>
    <cellStyle name="Lien hypertexte" xfId="7" builtinId="8"/>
    <cellStyle name="Milliers" xfId="3" builtinId="3"/>
    <cellStyle name="Normal" xfId="0" builtinId="0"/>
    <cellStyle name="Normal 2" xfId="6"/>
    <cellStyle name="Normal 2 2" xfId="14"/>
    <cellStyle name="Normal 3" xfId="4"/>
    <cellStyle name="Normal 4" xfId="5"/>
    <cellStyle name="Normal_Plan Comptable 1999" xfId="9"/>
    <cellStyle name="Normal_PLSYSCOA" xfId="10"/>
    <cellStyle name="Normal_SyntheseEmprunt" xfId="8"/>
    <cellStyle name="Pourcentage" xfId="1" builtinId="5"/>
  </cellStyles>
  <dxfs count="5">
    <dxf>
      <fill>
        <patternFill>
          <bgColor indexed="41"/>
        </patternFill>
      </fill>
    </dxf>
    <dxf>
      <font>
        <strike val="0"/>
        <outline val="0"/>
        <shadow val="0"/>
        <u val="none"/>
        <vertAlign val="baseline"/>
        <sz val="10"/>
        <color auto="1"/>
        <name val="Times New Roman"/>
        <scheme val="none"/>
      </font>
      <fill>
        <patternFill patternType="solid">
          <fgColor indexed="64"/>
          <bgColor rgb="FF00FF00"/>
        </patternFill>
      </fill>
      <alignment horizontal="center" textRotation="0" indent="0" relativeIndent="255" justifyLastLine="0" shrinkToFit="0" mergeCell="0" readingOrder="0"/>
      <border diagonalUp="0" diagonalDown="0" outline="0">
        <left/>
        <right/>
        <top style="thin">
          <color indexed="64"/>
        </top>
        <bottom style="thin">
          <color indexed="64"/>
        </bottom>
      </border>
    </dxf>
    <dxf>
      <font>
        <strike val="0"/>
        <outline val="0"/>
        <shadow val="0"/>
        <u val="none"/>
        <vertAlign val="baseline"/>
        <sz val="10"/>
        <color auto="1"/>
        <name val="Times New Roman"/>
        <scheme val="none"/>
      </font>
      <fill>
        <patternFill patternType="solid">
          <fgColor indexed="64"/>
          <bgColor rgb="FF00FF00"/>
        </patternFill>
      </fill>
      <alignment horizontal="center" textRotation="0" indent="0" relativeIndent="255" justifyLastLine="0" shrinkToFit="0" mergeCell="0" readingOrder="0"/>
      <border diagonalUp="0" diagonalDown="0" outline="0">
        <top/>
        <bottom/>
      </border>
    </dxf>
    <dxf>
      <font>
        <strike val="0"/>
        <outline val="0"/>
        <shadow val="0"/>
        <u val="none"/>
        <vertAlign val="baseline"/>
        <sz val="10"/>
        <color auto="1"/>
        <name val="Times New Roman"/>
        <scheme val="none"/>
      </font>
      <fill>
        <patternFill patternType="solid">
          <fgColor indexed="64"/>
          <bgColor rgb="FF00FF00"/>
        </patternFill>
      </fill>
      <alignment horizontal="center" textRotation="0" indent="0" relativeIndent="255" justifyLastLine="0" shrinkToFit="0" mergeCell="0" readingOrder="0"/>
      <border diagonalUp="0" diagonalDown="0" outline="0">
        <left style="thin">
          <color indexed="64"/>
        </left>
        <right style="thin">
          <color indexed="64"/>
        </right>
        <top/>
        <bottom/>
      </border>
    </dxf>
    <dxf>
      <fill>
        <patternFill>
          <bgColor indexed="41"/>
        </patternFill>
      </fill>
    </dxf>
  </dxfs>
  <tableStyles count="0" defaultTableStyle="TableStyleMedium9" defaultPivotStyle="PivotStyleLight16"/>
  <colors>
    <mruColors>
      <color rgb="FF3333FF"/>
      <color rgb="FF8064A2"/>
      <color rgb="FFFF8080"/>
      <color rgb="FF00FF00"/>
      <color rgb="FFCCFFFF"/>
      <color rgb="FF9900CC"/>
      <color rgb="FF66FFFF"/>
      <color rgb="FFFDE9D9"/>
      <color rgb="FFFCD5B4"/>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cat>
            <c:strRef>
              <c:f>Concordance!$B$103:$B$119</c:f>
              <c:strCache>
                <c:ptCount val="17"/>
                <c:pt idx="0">
                  <c:v>Immobilisations incorporelles</c:v>
                </c:pt>
                <c:pt idx="1">
                  <c:v>Immobilisations Corporelles</c:v>
                </c:pt>
                <c:pt idx="2">
                  <c:v>Immobilisations financières</c:v>
                </c:pt>
                <c:pt idx="3">
                  <c:v>Stocks ,en-cours, marchandises</c:v>
                </c:pt>
                <c:pt idx="4">
                  <c:v>Créances</c:v>
                </c:pt>
                <c:pt idx="5">
                  <c:v>Valeurs mobilières de placement</c:v>
                </c:pt>
                <c:pt idx="6">
                  <c:v>Disponibilités</c:v>
                </c:pt>
                <c:pt idx="7">
                  <c:v>Totaux</c:v>
                </c:pt>
                <c:pt idx="9">
                  <c:v>Capital social</c:v>
                </c:pt>
                <c:pt idx="10">
                  <c:v>Réserves</c:v>
                </c:pt>
                <c:pt idx="11">
                  <c:v>Dettes Fin et ressources assimilées</c:v>
                </c:pt>
                <c:pt idx="12">
                  <c:v>Provisions financières pour risques et charges</c:v>
                </c:pt>
                <c:pt idx="13">
                  <c:v>Dettes circulantes et ressources ass HAO</c:v>
                </c:pt>
                <c:pt idx="14">
                  <c:v>Dettes fiscale et sociales</c:v>
                </c:pt>
                <c:pt idx="15">
                  <c:v>Trésorerie passive</c:v>
                </c:pt>
                <c:pt idx="16">
                  <c:v>Totaux</c:v>
                </c:pt>
              </c:strCache>
            </c:strRef>
          </c:cat>
          <c:val>
            <c:numRef>
              <c:f>Concordance!$C$103:$C$119</c:f>
              <c:numCache>
                <c:formatCode>General</c:formatCode>
                <c:ptCount val="17"/>
                <c:pt idx="0">
                  <c:v>0</c:v>
                </c:pt>
                <c:pt idx="1">
                  <c:v>0</c:v>
                </c:pt>
                <c:pt idx="2">
                  <c:v>0</c:v>
                </c:pt>
                <c:pt idx="3">
                  <c:v>0</c:v>
                </c:pt>
                <c:pt idx="4">
                  <c:v>0</c:v>
                </c:pt>
                <c:pt idx="5">
                  <c:v>0</c:v>
                </c:pt>
                <c:pt idx="6">
                  <c:v>0</c:v>
                </c:pt>
                <c:pt idx="7">
                  <c:v>0</c:v>
                </c:pt>
                <c:pt idx="9">
                  <c:v>0</c:v>
                </c:pt>
                <c:pt idx="10">
                  <c:v>0</c:v>
                </c:pt>
                <c:pt idx="11">
                  <c:v>0</c:v>
                </c:pt>
                <c:pt idx="12">
                  <c:v>0</c:v>
                </c:pt>
                <c:pt idx="13">
                  <c:v>0</c:v>
                </c:pt>
                <c:pt idx="14">
                  <c:v>0</c:v>
                </c:pt>
                <c:pt idx="15">
                  <c:v>0</c:v>
                </c:pt>
                <c:pt idx="16">
                  <c:v>0</c:v>
                </c:pt>
              </c:numCache>
            </c:numRef>
          </c:val>
        </c:ser>
        <c:ser>
          <c:idx val="1"/>
          <c:order val="1"/>
          <c:cat>
            <c:strRef>
              <c:f>Concordance!$B$103:$B$119</c:f>
              <c:strCache>
                <c:ptCount val="17"/>
                <c:pt idx="0">
                  <c:v>Immobilisations incorporelles</c:v>
                </c:pt>
                <c:pt idx="1">
                  <c:v>Immobilisations Corporelles</c:v>
                </c:pt>
                <c:pt idx="2">
                  <c:v>Immobilisations financières</c:v>
                </c:pt>
                <c:pt idx="3">
                  <c:v>Stocks ,en-cours, marchandises</c:v>
                </c:pt>
                <c:pt idx="4">
                  <c:v>Créances</c:v>
                </c:pt>
                <c:pt idx="5">
                  <c:v>Valeurs mobilières de placement</c:v>
                </c:pt>
                <c:pt idx="6">
                  <c:v>Disponibilités</c:v>
                </c:pt>
                <c:pt idx="7">
                  <c:v>Totaux</c:v>
                </c:pt>
                <c:pt idx="9">
                  <c:v>Capital social</c:v>
                </c:pt>
                <c:pt idx="10">
                  <c:v>Réserves</c:v>
                </c:pt>
                <c:pt idx="11">
                  <c:v>Dettes Fin et ressources assimilées</c:v>
                </c:pt>
                <c:pt idx="12">
                  <c:v>Provisions financières pour risques et charges</c:v>
                </c:pt>
                <c:pt idx="13">
                  <c:v>Dettes circulantes et ressources ass HAO</c:v>
                </c:pt>
                <c:pt idx="14">
                  <c:v>Dettes fiscale et sociales</c:v>
                </c:pt>
                <c:pt idx="15">
                  <c:v>Trésorerie passive</c:v>
                </c:pt>
                <c:pt idx="16">
                  <c:v>Totaux</c:v>
                </c:pt>
              </c:strCache>
            </c:strRef>
          </c:cat>
          <c:val>
            <c:numRef>
              <c:f>Concordance!$D$103:$D$119</c:f>
              <c:numCache>
                <c:formatCode>General</c:formatCode>
                <c:ptCount val="17"/>
                <c:pt idx="0">
                  <c:v>57000</c:v>
                </c:pt>
                <c:pt idx="1">
                  <c:v>518500</c:v>
                </c:pt>
                <c:pt idx="2">
                  <c:v>99600</c:v>
                </c:pt>
                <c:pt idx="3">
                  <c:v>-39000</c:v>
                </c:pt>
                <c:pt idx="4">
                  <c:v>1229118</c:v>
                </c:pt>
                <c:pt idx="5">
                  <c:v>7000</c:v>
                </c:pt>
                <c:pt idx="6">
                  <c:v>-1583795</c:v>
                </c:pt>
                <c:pt idx="7">
                  <c:v>288423</c:v>
                </c:pt>
                <c:pt idx="9">
                  <c:v>-1400</c:v>
                </c:pt>
                <c:pt idx="10">
                  <c:v>0</c:v>
                </c:pt>
                <c:pt idx="11">
                  <c:v>40000</c:v>
                </c:pt>
                <c:pt idx="12">
                  <c:v>0</c:v>
                </c:pt>
                <c:pt idx="13">
                  <c:v>-33240</c:v>
                </c:pt>
                <c:pt idx="14">
                  <c:v>179319.4135021097</c:v>
                </c:pt>
                <c:pt idx="15">
                  <c:v>12100</c:v>
                </c:pt>
                <c:pt idx="16">
                  <c:v>196779.4135021097</c:v>
                </c:pt>
              </c:numCache>
            </c:numRef>
          </c:val>
        </c:ser>
        <c:axId val="70661632"/>
        <c:axId val="70663168"/>
      </c:barChart>
      <c:catAx>
        <c:axId val="70661632"/>
        <c:scaling>
          <c:orientation val="minMax"/>
        </c:scaling>
        <c:axPos val="b"/>
        <c:tickLblPos val="nextTo"/>
        <c:crossAx val="70663168"/>
        <c:crosses val="autoZero"/>
        <c:auto val="1"/>
        <c:lblAlgn val="ctr"/>
        <c:lblOffset val="100"/>
      </c:catAx>
      <c:valAx>
        <c:axId val="70663168"/>
        <c:scaling>
          <c:orientation val="minMax"/>
        </c:scaling>
        <c:axPos val="l"/>
        <c:majorGridlines/>
        <c:numFmt formatCode="General" sourceLinked="1"/>
        <c:tickLblPos val="nextTo"/>
        <c:crossAx val="70661632"/>
        <c:crosses val="autoZero"/>
        <c:crossBetween val="between"/>
      </c:valAx>
    </c:plotArea>
    <c:legend>
      <c:legendPos val="r"/>
    </c:legend>
    <c:plotVisOnly val="1"/>
  </c:chart>
  <c:printSettings>
    <c:headerFooter/>
    <c:pageMargins b="0.75000000000000167" l="0.70000000000000062" r="0.70000000000000062" t="0.75000000000000167" header="0.30000000000000032" footer="0.30000000000000032"/>
    <c:pageSetup/>
  </c:printSettings>
</c:chartSpace>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358932</xdr:colOff>
      <xdr:row>0</xdr:row>
      <xdr:rowOff>0</xdr:rowOff>
    </xdr:from>
    <xdr:ext cx="6956267" cy="1782924"/>
    <xdr:sp macro="" textlink="">
      <xdr:nvSpPr>
        <xdr:cNvPr id="4" name="Rectangle 3"/>
        <xdr:cNvSpPr/>
      </xdr:nvSpPr>
      <xdr:spPr>
        <a:xfrm>
          <a:off x="1120932" y="0"/>
          <a:ext cx="6956267" cy="1782924"/>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Compta</a:t>
          </a:r>
          <a:r>
            <a:rPr lang="fr-FR" sz="5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bilité UEMOA II</a:t>
          </a:r>
          <a:endParaRPr lang="fr-FR"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1</xdr:col>
      <xdr:colOff>628650</xdr:colOff>
      <xdr:row>6</xdr:row>
      <xdr:rowOff>104774</xdr:rowOff>
    </xdr:from>
    <xdr:to>
      <xdr:col>9</xdr:col>
      <xdr:colOff>142875</xdr:colOff>
      <xdr:row>17</xdr:row>
      <xdr:rowOff>152399</xdr:rowOff>
    </xdr:to>
    <xdr:sp macro="" textlink="">
      <xdr:nvSpPr>
        <xdr:cNvPr id="3" name="Rectangle à coins arrondis 2"/>
        <xdr:cNvSpPr/>
      </xdr:nvSpPr>
      <xdr:spPr>
        <a:xfrm>
          <a:off x="1390650" y="1933574"/>
          <a:ext cx="6515100" cy="2409825"/>
        </a:xfrm>
        <a:prstGeom prst="roundRect">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oneCellAnchor>
    <xdr:from>
      <xdr:col>3</xdr:col>
      <xdr:colOff>733425</xdr:colOff>
      <xdr:row>6</xdr:row>
      <xdr:rowOff>129127</xdr:rowOff>
    </xdr:from>
    <xdr:ext cx="3819525" cy="405432"/>
    <xdr:sp macro="" textlink="">
      <xdr:nvSpPr>
        <xdr:cNvPr id="5" name="Rectangle 4"/>
        <xdr:cNvSpPr/>
      </xdr:nvSpPr>
      <xdr:spPr>
        <a:xfrm flipH="1">
          <a:off x="3019425" y="1957927"/>
          <a:ext cx="3819525" cy="405432"/>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Consultez</a:t>
          </a:r>
          <a:r>
            <a:rPr lang="fr-FR"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les comptes</a:t>
          </a:r>
          <a:endParaRPr lang="fr-FR"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66675</xdr:colOff>
      <xdr:row>18</xdr:row>
      <xdr:rowOff>85722</xdr:rowOff>
    </xdr:from>
    <xdr:ext cx="3400425" cy="593239"/>
    <xdr:sp macro="" textlink="">
      <xdr:nvSpPr>
        <xdr:cNvPr id="6" name="Rectangle 5"/>
        <xdr:cNvSpPr/>
      </xdr:nvSpPr>
      <xdr:spPr>
        <a:xfrm>
          <a:off x="66675" y="4467222"/>
          <a:ext cx="3400425" cy="593239"/>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16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Un</a:t>
          </a:r>
          <a:r>
            <a:rPr lang="fr-FR" sz="16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lien ci dessous pour la méthode comptable</a:t>
          </a:r>
          <a:endParaRPr lang="fr-FR" sz="16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28576</xdr:rowOff>
    </xdr:from>
    <xdr:ext cx="7467600" cy="428624"/>
    <xdr:sp macro="" textlink="">
      <xdr:nvSpPr>
        <xdr:cNvPr id="2" name="Rectangle 1"/>
        <xdr:cNvSpPr/>
      </xdr:nvSpPr>
      <xdr:spPr>
        <a:xfrm>
          <a:off x="9525" y="28576"/>
          <a:ext cx="7467600" cy="428624"/>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16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Votre</a:t>
          </a:r>
          <a:r>
            <a:rPr lang="fr-FR" sz="16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livre de balance et grand livre soldé en dessous</a:t>
          </a:r>
        </a:p>
        <a:p>
          <a:pPr algn="ctr"/>
          <a:endParaRPr lang="fr-FR" sz="16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192</xdr:row>
      <xdr:rowOff>238125</xdr:rowOff>
    </xdr:from>
    <xdr:to>
      <xdr:col>1</xdr:col>
      <xdr:colOff>28575</xdr:colOff>
      <xdr:row>193</xdr:row>
      <xdr:rowOff>0</xdr:rowOff>
    </xdr:to>
    <xdr:pic>
      <xdr:nvPicPr>
        <xdr:cNvPr id="2" name="Picture 2" descr="spacer"/>
        <xdr:cNvPicPr>
          <a:picLocks noChangeAspect="1" noChangeArrowheads="1"/>
        </xdr:cNvPicPr>
      </xdr:nvPicPr>
      <xdr:blipFill>
        <a:blip xmlns:r="http://schemas.openxmlformats.org/officeDocument/2006/relationships" r:embed="rId1"/>
        <a:srcRect/>
        <a:stretch>
          <a:fillRect/>
        </a:stretch>
      </xdr:blipFill>
      <xdr:spPr bwMode="auto">
        <a:xfrm>
          <a:off x="314325" y="495300"/>
          <a:ext cx="476250" cy="190500"/>
        </a:xfrm>
        <a:prstGeom prst="rect">
          <a:avLst/>
        </a:prstGeom>
        <a:noFill/>
      </xdr:spPr>
    </xdr:pic>
    <xdr:clientData/>
  </xdr:twoCellAnchor>
  <xdr:twoCellAnchor editAs="oneCell">
    <xdr:from>
      <xdr:col>1</xdr:col>
      <xdr:colOff>0</xdr:colOff>
      <xdr:row>194</xdr:row>
      <xdr:rowOff>0</xdr:rowOff>
    </xdr:from>
    <xdr:to>
      <xdr:col>1</xdr:col>
      <xdr:colOff>476250</xdr:colOff>
      <xdr:row>195</xdr:row>
      <xdr:rowOff>0</xdr:rowOff>
    </xdr:to>
    <xdr:pic>
      <xdr:nvPicPr>
        <xdr:cNvPr id="3" name="Picture 3" descr="spacer"/>
        <xdr:cNvPicPr>
          <a:picLocks noChangeAspect="1" noChangeArrowheads="1"/>
        </xdr:cNvPicPr>
      </xdr:nvPicPr>
      <xdr:blipFill>
        <a:blip xmlns:r="http://schemas.openxmlformats.org/officeDocument/2006/relationships" r:embed="rId1"/>
        <a:srcRect/>
        <a:stretch>
          <a:fillRect/>
        </a:stretch>
      </xdr:blipFill>
      <xdr:spPr bwMode="auto">
        <a:xfrm>
          <a:off x="762000" y="1057275"/>
          <a:ext cx="476250" cy="190500"/>
        </a:xfrm>
        <a:prstGeom prst="rect">
          <a:avLst/>
        </a:prstGeom>
        <a:noFill/>
      </xdr:spPr>
    </xdr:pic>
    <xdr:clientData/>
  </xdr:twoCellAnchor>
  <xdr:twoCellAnchor editAs="oneCell">
    <xdr:from>
      <xdr:col>1</xdr:col>
      <xdr:colOff>0</xdr:colOff>
      <xdr:row>195</xdr:row>
      <xdr:rowOff>0</xdr:rowOff>
    </xdr:from>
    <xdr:to>
      <xdr:col>1</xdr:col>
      <xdr:colOff>476250</xdr:colOff>
      <xdr:row>196</xdr:row>
      <xdr:rowOff>0</xdr:rowOff>
    </xdr:to>
    <xdr:pic>
      <xdr:nvPicPr>
        <xdr:cNvPr id="4"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762000" y="1457325"/>
          <a:ext cx="476250" cy="190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66676</xdr:colOff>
      <xdr:row>2</xdr:row>
      <xdr:rowOff>180974</xdr:rowOff>
    </xdr:from>
    <xdr:to>
      <xdr:col>4</xdr:col>
      <xdr:colOff>104776</xdr:colOff>
      <xdr:row>11</xdr:row>
      <xdr:rowOff>104775</xdr:rowOff>
    </xdr:to>
    <xdr:sp macro="" textlink="">
      <xdr:nvSpPr>
        <xdr:cNvPr id="3" name="Rectangle à coins arrondis 2"/>
        <xdr:cNvSpPr/>
      </xdr:nvSpPr>
      <xdr:spPr>
        <a:xfrm>
          <a:off x="66676" y="600074"/>
          <a:ext cx="4419600" cy="18288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0</xdr:col>
      <xdr:colOff>180976</xdr:colOff>
      <xdr:row>12</xdr:row>
      <xdr:rowOff>19050</xdr:rowOff>
    </xdr:from>
    <xdr:to>
      <xdr:col>4</xdr:col>
      <xdr:colOff>85726</xdr:colOff>
      <xdr:row>20</xdr:row>
      <xdr:rowOff>114300</xdr:rowOff>
    </xdr:to>
    <xdr:sp macro="" textlink="">
      <xdr:nvSpPr>
        <xdr:cNvPr id="4" name="Rectangle à coins arrondis 3"/>
        <xdr:cNvSpPr/>
      </xdr:nvSpPr>
      <xdr:spPr>
        <a:xfrm>
          <a:off x="180976" y="2552700"/>
          <a:ext cx="4286250" cy="18097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0</xdr:col>
      <xdr:colOff>200025</xdr:colOff>
      <xdr:row>21</xdr:row>
      <xdr:rowOff>38100</xdr:rowOff>
    </xdr:from>
    <xdr:to>
      <xdr:col>4</xdr:col>
      <xdr:colOff>66675</xdr:colOff>
      <xdr:row>28</xdr:row>
      <xdr:rowOff>104775</xdr:rowOff>
    </xdr:to>
    <xdr:sp macro="" textlink="">
      <xdr:nvSpPr>
        <xdr:cNvPr id="5" name="Rectangle à coins arrondis 4"/>
        <xdr:cNvSpPr/>
      </xdr:nvSpPr>
      <xdr:spPr>
        <a:xfrm>
          <a:off x="200025" y="4505325"/>
          <a:ext cx="4248150" cy="1552575"/>
        </a:xfrm>
        <a:prstGeom prst="roundRect">
          <a:avLst/>
        </a:prstGeom>
        <a:noFill/>
        <a:scene3d>
          <a:camera prst="orthographicFront"/>
          <a:lightRig rig="threePt" dir="t"/>
        </a:scene3d>
        <a:sp3d prstMaterial="dkEdge"/>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0</xdr:col>
      <xdr:colOff>152400</xdr:colOff>
      <xdr:row>31</xdr:row>
      <xdr:rowOff>38100</xdr:rowOff>
    </xdr:from>
    <xdr:to>
      <xdr:col>4</xdr:col>
      <xdr:colOff>47625</xdr:colOff>
      <xdr:row>37</xdr:row>
      <xdr:rowOff>104775</xdr:rowOff>
    </xdr:to>
    <xdr:sp macro="" textlink="">
      <xdr:nvSpPr>
        <xdr:cNvPr id="6" name="Rectangle à coins arrondis 5"/>
        <xdr:cNvSpPr/>
      </xdr:nvSpPr>
      <xdr:spPr>
        <a:xfrm>
          <a:off x="152400" y="9791700"/>
          <a:ext cx="4276725" cy="1438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0</xdr:col>
      <xdr:colOff>104776</xdr:colOff>
      <xdr:row>38</xdr:row>
      <xdr:rowOff>9525</xdr:rowOff>
    </xdr:from>
    <xdr:to>
      <xdr:col>5</xdr:col>
      <xdr:colOff>85726</xdr:colOff>
      <xdr:row>46</xdr:row>
      <xdr:rowOff>76200</xdr:rowOff>
    </xdr:to>
    <xdr:sp macro="" textlink="">
      <xdr:nvSpPr>
        <xdr:cNvPr id="7" name="Rectangle à coins arrondis 6"/>
        <xdr:cNvSpPr/>
      </xdr:nvSpPr>
      <xdr:spPr>
        <a:xfrm>
          <a:off x="104776" y="11344275"/>
          <a:ext cx="5162550" cy="17430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4</xdr:col>
      <xdr:colOff>704850</xdr:colOff>
      <xdr:row>3</xdr:row>
      <xdr:rowOff>1</xdr:rowOff>
    </xdr:from>
    <xdr:to>
      <xdr:col>7</xdr:col>
      <xdr:colOff>76200</xdr:colOff>
      <xdr:row>11</xdr:row>
      <xdr:rowOff>76201</xdr:rowOff>
    </xdr:to>
    <xdr:sp macro="" textlink="">
      <xdr:nvSpPr>
        <xdr:cNvPr id="9" name="Rectangle à coins arrondis 8"/>
        <xdr:cNvSpPr/>
      </xdr:nvSpPr>
      <xdr:spPr>
        <a:xfrm>
          <a:off x="5086350" y="628651"/>
          <a:ext cx="4162425" cy="17716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4</xdr:col>
      <xdr:colOff>666749</xdr:colOff>
      <xdr:row>12</xdr:row>
      <xdr:rowOff>57150</xdr:rowOff>
    </xdr:from>
    <xdr:to>
      <xdr:col>7</xdr:col>
      <xdr:colOff>76199</xdr:colOff>
      <xdr:row>18</xdr:row>
      <xdr:rowOff>28574</xdr:rowOff>
    </xdr:to>
    <xdr:sp macro="" textlink="">
      <xdr:nvSpPr>
        <xdr:cNvPr id="10" name="Rectangle à coins arrondis 9"/>
        <xdr:cNvSpPr/>
      </xdr:nvSpPr>
      <xdr:spPr>
        <a:xfrm>
          <a:off x="5048249" y="2590800"/>
          <a:ext cx="4200525" cy="125729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4</xdr:col>
      <xdr:colOff>647700</xdr:colOff>
      <xdr:row>19</xdr:row>
      <xdr:rowOff>200025</xdr:rowOff>
    </xdr:from>
    <xdr:to>
      <xdr:col>7</xdr:col>
      <xdr:colOff>161925</xdr:colOff>
      <xdr:row>29</xdr:row>
      <xdr:rowOff>123825</xdr:rowOff>
    </xdr:to>
    <xdr:sp macro="" textlink="">
      <xdr:nvSpPr>
        <xdr:cNvPr id="11" name="Rectangle à coins arrondis 10"/>
        <xdr:cNvSpPr/>
      </xdr:nvSpPr>
      <xdr:spPr>
        <a:xfrm>
          <a:off x="5029200" y="4229100"/>
          <a:ext cx="4305300" cy="20669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4</xdr:col>
      <xdr:colOff>657225</xdr:colOff>
      <xdr:row>31</xdr:row>
      <xdr:rowOff>9525</xdr:rowOff>
    </xdr:from>
    <xdr:to>
      <xdr:col>7</xdr:col>
      <xdr:colOff>9525</xdr:colOff>
      <xdr:row>37</xdr:row>
      <xdr:rowOff>104775</xdr:rowOff>
    </xdr:to>
    <xdr:sp macro="" textlink="">
      <xdr:nvSpPr>
        <xdr:cNvPr id="12" name="Rectangle à coins arrondis 11"/>
        <xdr:cNvSpPr/>
      </xdr:nvSpPr>
      <xdr:spPr>
        <a:xfrm>
          <a:off x="5038725" y="9763125"/>
          <a:ext cx="4143375" cy="15811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101</xdr:row>
      <xdr:rowOff>19050</xdr:rowOff>
    </xdr:from>
    <xdr:to>
      <xdr:col>11</xdr:col>
      <xdr:colOff>828675</xdr:colOff>
      <xdr:row>120</xdr:row>
      <xdr:rowOff>47625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ompte2" displayName="Compte2" ref="A4:A314" totalsRowShown="0" headerRowDxfId="3" dataDxfId="2">
  <tableColumns count="1">
    <tableColumn id="1" name="1011" dataDxfId="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tabilite.orgfree.com/" TargetMode="External"/><Relationship Id="rId1" Type="http://schemas.openxmlformats.org/officeDocument/2006/relationships/hyperlink" Target="http://jasseu.wordpress.com/2014/04/17/comptabilite-ouest-africaine-ohada/"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2.vml"/><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Feuil9"/>
  <dimension ref="A1:I21"/>
  <sheetViews>
    <sheetView tabSelected="1" workbookViewId="0">
      <selection activeCell="N11" sqref="N11"/>
    </sheetView>
  </sheetViews>
  <sheetFormatPr baseColWidth="10" defaultRowHeight="16.5"/>
  <cols>
    <col min="1" max="6" width="11.42578125" style="693"/>
    <col min="7" max="7" width="14.7109375" style="693" customWidth="1"/>
    <col min="8" max="8" width="16" style="693" customWidth="1"/>
    <col min="9" max="9" width="17.140625" style="693" customWidth="1"/>
    <col min="10" max="10" width="11.42578125" style="693"/>
    <col min="11" max="11" width="19.28515625" style="693" customWidth="1"/>
    <col min="12" max="16384" width="11.42578125" style="693"/>
  </cols>
  <sheetData>
    <row r="1" spans="1:9" ht="49.5" customHeight="1">
      <c r="B1" s="1631"/>
      <c r="C1" s="1631"/>
      <c r="D1" s="1631"/>
      <c r="E1" s="1631"/>
      <c r="F1" s="1631"/>
      <c r="G1" s="1631"/>
      <c r="H1" s="1631"/>
      <c r="I1" s="1631"/>
    </row>
    <row r="2" spans="1:9" ht="28.5" customHeight="1">
      <c r="B2" s="694"/>
      <c r="C2" s="694"/>
      <c r="D2" s="694"/>
      <c r="E2" s="694"/>
      <c r="F2" s="694"/>
      <c r="G2" s="694"/>
      <c r="H2" s="694"/>
      <c r="I2" s="694"/>
    </row>
    <row r="3" spans="1:9">
      <c r="A3" s="1207"/>
      <c r="B3" s="1207"/>
      <c r="C3" s="1207"/>
      <c r="D3" s="1207"/>
      <c r="E3" s="1207"/>
      <c r="F3" s="1207"/>
      <c r="G3" s="1207"/>
      <c r="H3" s="1207"/>
      <c r="I3" s="1207"/>
    </row>
    <row r="4" spans="1:9">
      <c r="A4" s="1207"/>
      <c r="B4" s="1207"/>
      <c r="C4" s="1207"/>
      <c r="D4" s="1207"/>
      <c r="E4" s="1207"/>
      <c r="F4" s="1207"/>
      <c r="G4" s="1207"/>
      <c r="H4" s="1207"/>
      <c r="I4" s="1207"/>
    </row>
    <row r="5" spans="1:9">
      <c r="A5" s="1207"/>
      <c r="B5" s="1207"/>
      <c r="C5" s="1207"/>
      <c r="D5" s="1207"/>
      <c r="E5" s="1207"/>
      <c r="F5" s="1207"/>
      <c r="G5" s="1207"/>
      <c r="H5" s="1207"/>
      <c r="I5" s="1207"/>
    </row>
    <row r="7" spans="1:9">
      <c r="F7" s="695"/>
      <c r="G7" s="696"/>
      <c r="H7" s="696"/>
      <c r="I7" s="696"/>
    </row>
    <row r="8" spans="1:9">
      <c r="F8" s="695"/>
      <c r="G8" s="696"/>
      <c r="H8" s="696"/>
      <c r="I8" s="696"/>
    </row>
    <row r="9" spans="1:9" ht="17.25" thickBot="1"/>
    <row r="10" spans="1:9" ht="24" thickBot="1">
      <c r="C10" s="1632">
        <v>602</v>
      </c>
      <c r="D10" s="1633"/>
      <c r="E10" s="1633"/>
      <c r="F10" s="1633"/>
      <c r="G10" s="1633"/>
      <c r="H10" s="1633"/>
      <c r="I10" s="1634"/>
    </row>
    <row r="11" spans="1:9" ht="17.25" thickBot="1"/>
    <row r="12" spans="1:9">
      <c r="C12" s="1635" t="str">
        <f>Balance!A3</f>
        <v>Compte</v>
      </c>
      <c r="D12" s="1636"/>
      <c r="E12" s="1636"/>
      <c r="F12" s="1636"/>
      <c r="G12" s="697" t="s">
        <v>23</v>
      </c>
      <c r="H12" s="697" t="s">
        <v>24</v>
      </c>
      <c r="I12" s="698" t="s">
        <v>25</v>
      </c>
    </row>
    <row r="13" spans="1:9" ht="17.25" customHeight="1" thickBot="1">
      <c r="C13" s="1637" t="str">
        <f>IF($C$10="","",VLOOKUP($C$10,Compte!A4:B346,2,0))</f>
        <v>Achats de marchandises taux normal</v>
      </c>
      <c r="D13" s="1638"/>
      <c r="E13" s="1638"/>
      <c r="F13" s="1638"/>
      <c r="G13" s="699">
        <f>IF($C$10="","",VLOOKUP($C$10,Balance!A5:E347,3,0))</f>
        <v>210</v>
      </c>
      <c r="H13" s="699">
        <f>IF($C$10="","",VLOOKUP($C$10,Balance!A5:E347,4,0))</f>
        <v>0</v>
      </c>
      <c r="I13" s="700">
        <f>IF($C$10="","",VLOOKUP($C$10,Balance!A5:E347,5,0))</f>
        <v>210</v>
      </c>
    </row>
    <row r="15" spans="1:9">
      <c r="I15" s="701"/>
    </row>
    <row r="16" spans="1:9" ht="17.25" thickBot="1"/>
    <row r="17" spans="3:9" ht="17.25" thickBot="1">
      <c r="C17" s="1639" t="s">
        <v>158</v>
      </c>
      <c r="D17" s="1640"/>
      <c r="E17" s="1640"/>
      <c r="F17" s="1628">
        <f ca="1">NOW()</f>
        <v>42037.653850694442</v>
      </c>
      <c r="G17" s="1629"/>
      <c r="H17" s="1629"/>
      <c r="I17" s="1630"/>
    </row>
    <row r="20" spans="3:9">
      <c r="F20" s="702" t="s">
        <v>1475</v>
      </c>
    </row>
    <row r="21" spans="3:9">
      <c r="F21" s="702" t="s">
        <v>1601</v>
      </c>
    </row>
  </sheetData>
  <mergeCells count="6">
    <mergeCell ref="F17:I17"/>
    <mergeCell ref="B1:I1"/>
    <mergeCell ref="C10:I10"/>
    <mergeCell ref="C12:F12"/>
    <mergeCell ref="C13:F13"/>
    <mergeCell ref="C17:E17"/>
  </mergeCells>
  <conditionalFormatting sqref="G13:I13">
    <cfRule type="expression" dxfId="4" priority="2" stopIfTrue="1">
      <formula>$J$3=1</formula>
    </cfRule>
  </conditionalFormatting>
  <dataValidations count="1">
    <dataValidation type="list" allowBlank="1" showInputMessage="1" showErrorMessage="1" sqref="C10">
      <formula1>Compte</formula1>
    </dataValidation>
  </dataValidations>
  <hyperlinks>
    <hyperlink ref="F20" r:id="rId1"/>
    <hyperlink ref="F21" r:id="rId2"/>
  </hyperlinks>
  <pageMargins left="0.7" right="0.7" top="0.75" bottom="0.75" header="0.3" footer="0.3"/>
  <pageSetup paperSize="9" orientation="portrait" horizontalDpi="4294967293" verticalDpi="4294967293" r:id="rId3"/>
  <drawing r:id="rId4"/>
  <legacyDrawing r:id="rId5"/>
</worksheet>
</file>

<file path=xl/worksheets/sheet10.xml><?xml version="1.0" encoding="utf-8"?>
<worksheet xmlns="http://schemas.openxmlformats.org/spreadsheetml/2006/main" xmlns:r="http://schemas.openxmlformats.org/officeDocument/2006/relationships">
  <sheetPr codeName="Feuil10"/>
  <dimension ref="A1:L198"/>
  <sheetViews>
    <sheetView workbookViewId="0">
      <selection activeCell="F182" sqref="F182"/>
    </sheetView>
  </sheetViews>
  <sheetFormatPr baseColWidth="10" defaultRowHeight="12.75"/>
  <cols>
    <col min="1" max="1" width="11.42578125" style="856"/>
    <col min="2" max="2" width="10.140625" style="856" customWidth="1"/>
    <col min="3" max="3" width="13.42578125" style="856" customWidth="1"/>
    <col min="4" max="4" width="12.42578125" style="856" customWidth="1"/>
    <col min="5" max="5" width="19.5703125" style="856" bestFit="1" customWidth="1"/>
    <col min="6" max="16384" width="11.42578125" style="856"/>
  </cols>
  <sheetData>
    <row r="1" spans="1:10">
      <c r="A1" s="856" t="s">
        <v>1377</v>
      </c>
      <c r="B1" s="1137"/>
    </row>
    <row r="3" spans="1:10">
      <c r="A3" s="1139" t="s">
        <v>1492</v>
      </c>
      <c r="B3" s="1138"/>
      <c r="C3" s="1138"/>
      <c r="D3" s="1138"/>
      <c r="E3" s="1138"/>
    </row>
    <row r="5" spans="1:10" ht="13.5">
      <c r="A5" s="1128" t="s">
        <v>1493</v>
      </c>
      <c r="B5" s="1126"/>
      <c r="C5" s="1126" t="s">
        <v>1494</v>
      </c>
      <c r="D5" s="1127"/>
      <c r="E5" s="1127"/>
      <c r="F5" s="1127"/>
      <c r="G5" s="1131">
        <v>360</v>
      </c>
      <c r="H5" s="1126" t="s">
        <v>1495</v>
      </c>
      <c r="I5" s="1126"/>
      <c r="J5" s="1129"/>
    </row>
    <row r="6" spans="1:10" ht="13.5">
      <c r="A6" s="1128" t="s">
        <v>1205</v>
      </c>
      <c r="B6" s="1126"/>
      <c r="C6" s="1126"/>
      <c r="D6" s="1127"/>
      <c r="E6" s="1127"/>
      <c r="F6" s="1127"/>
      <c r="G6" s="1126"/>
      <c r="H6" s="1126"/>
      <c r="I6" s="1126"/>
      <c r="J6" s="1130">
        <v>30000</v>
      </c>
    </row>
    <row r="7" spans="1:10" ht="13.5">
      <c r="A7" s="1128" t="s">
        <v>1496</v>
      </c>
      <c r="B7" s="1126"/>
      <c r="C7" s="1126"/>
      <c r="D7" s="1127"/>
      <c r="E7" s="1127"/>
      <c r="F7" s="1127"/>
      <c r="G7" s="1126" t="s">
        <v>1264</v>
      </c>
      <c r="H7" s="1126"/>
      <c r="I7" s="1126"/>
      <c r="J7" s="1130">
        <v>50000</v>
      </c>
    </row>
    <row r="8" spans="1:10" ht="13.5">
      <c r="A8" s="1128" t="s">
        <v>1497</v>
      </c>
      <c r="B8" s="1126"/>
      <c r="C8" s="1126"/>
      <c r="D8" s="1127"/>
      <c r="E8" s="1127"/>
      <c r="F8" s="1127"/>
      <c r="G8" s="1126" t="s">
        <v>1264</v>
      </c>
      <c r="H8" s="1126"/>
      <c r="I8" s="1126"/>
      <c r="J8" s="1130">
        <v>20000</v>
      </c>
    </row>
    <row r="9" spans="1:10" ht="13.5">
      <c r="A9" s="1128" t="s">
        <v>1498</v>
      </c>
      <c r="B9" s="1126"/>
      <c r="C9" s="1126"/>
      <c r="D9" s="1127"/>
      <c r="E9" s="1127"/>
      <c r="F9" s="1127"/>
      <c r="G9" s="1126" t="s">
        <v>1499</v>
      </c>
      <c r="H9" s="1126"/>
      <c r="I9" s="1126"/>
      <c r="J9" s="1130">
        <v>50000</v>
      </c>
    </row>
    <row r="10" spans="1:10" ht="13.5">
      <c r="A10" s="1128" t="s">
        <v>1500</v>
      </c>
      <c r="B10" s="1126"/>
      <c r="C10" s="1126"/>
      <c r="D10" s="1127"/>
      <c r="E10" s="1127"/>
      <c r="F10" s="1127"/>
      <c r="G10" s="1126"/>
      <c r="H10" s="1126"/>
      <c r="I10" s="1126"/>
      <c r="J10" s="1136">
        <f>(J7+J8)-J9</f>
        <v>20000</v>
      </c>
    </row>
    <row r="11" spans="1:10" ht="13.5">
      <c r="A11" s="1132" t="str">
        <f>("La durée moyenne du crédit client  est de "&amp;J11)&amp;" jours, vérifier celle du délais fournisseur:"</f>
        <v>La durée moyenne du crédit client  est de 240 jours, vérifier celle du délais fournisseur:</v>
      </c>
      <c r="B11" s="1133"/>
      <c r="C11" s="1133"/>
      <c r="D11" s="1134"/>
      <c r="E11" s="1134"/>
      <c r="F11" s="1134"/>
      <c r="G11" s="1133"/>
      <c r="H11" s="1133"/>
      <c r="I11" s="1133"/>
      <c r="J11" s="1135">
        <f>(J10/J6)*G5</f>
        <v>240</v>
      </c>
    </row>
    <row r="13" spans="1:10" ht="13.5">
      <c r="A13" s="1128" t="s">
        <v>1501</v>
      </c>
      <c r="B13" s="1126"/>
      <c r="C13" s="1126" t="s">
        <v>1494</v>
      </c>
      <c r="D13" s="1127"/>
      <c r="E13" s="1127"/>
      <c r="F13" s="1127"/>
      <c r="G13" s="1131">
        <v>360</v>
      </c>
      <c r="H13" s="1126" t="s">
        <v>1495</v>
      </c>
      <c r="I13" s="1126"/>
      <c r="J13" s="1129"/>
    </row>
    <row r="14" spans="1:10" ht="13.5">
      <c r="A14" s="1128" t="s">
        <v>1502</v>
      </c>
      <c r="B14" s="1126"/>
      <c r="C14" s="1126"/>
      <c r="D14" s="1127"/>
      <c r="E14" s="1127"/>
      <c r="F14" s="1127"/>
      <c r="G14" s="1126"/>
      <c r="H14" s="1126"/>
      <c r="I14" s="1126"/>
      <c r="J14" s="1130">
        <v>100000</v>
      </c>
    </row>
    <row r="15" spans="1:10" ht="13.5">
      <c r="A15" s="1128" t="s">
        <v>1503</v>
      </c>
      <c r="B15" s="1126"/>
      <c r="C15" s="1126"/>
      <c r="D15" s="1127"/>
      <c r="E15" s="1127"/>
      <c r="F15" s="1127"/>
      <c r="G15" s="1126" t="s">
        <v>1264</v>
      </c>
      <c r="H15" s="1126"/>
      <c r="I15" s="1126"/>
      <c r="J15" s="1130">
        <v>50000</v>
      </c>
    </row>
    <row r="16" spans="1:10" ht="13.5">
      <c r="A16" s="1128" t="s">
        <v>1504</v>
      </c>
      <c r="B16" s="1126"/>
      <c r="C16" s="1126"/>
      <c r="D16" s="1127"/>
      <c r="E16" s="1127"/>
      <c r="F16" s="1127"/>
      <c r="G16" s="1126" t="s">
        <v>1499</v>
      </c>
      <c r="H16" s="1126"/>
      <c r="I16" s="1126"/>
      <c r="J16" s="1130">
        <v>20000</v>
      </c>
    </row>
    <row r="17" spans="1:10" ht="13.5">
      <c r="A17" s="1128" t="s">
        <v>1505</v>
      </c>
      <c r="B17" s="1126"/>
      <c r="C17" s="1126"/>
      <c r="D17" s="1127"/>
      <c r="E17" s="1127"/>
      <c r="F17" s="1127"/>
      <c r="G17" s="1126"/>
      <c r="H17" s="1126"/>
      <c r="I17" s="1126"/>
      <c r="J17" s="1136">
        <f>J15-J16</f>
        <v>30000</v>
      </c>
    </row>
    <row r="18" spans="1:10" ht="13.5">
      <c r="A18" s="1132" t="str">
        <f>("La durée moyenne du crédit fournisseur est de "&amp;J18)&amp;" jours:"</f>
        <v>La durée moyenne du crédit fournisseur est de 108 jours:</v>
      </c>
      <c r="B18" s="1133"/>
      <c r="C18" s="1133"/>
      <c r="D18" s="1134"/>
      <c r="E18" s="1134"/>
      <c r="F18" s="1134"/>
      <c r="G18" s="1133"/>
      <c r="H18" s="1133"/>
      <c r="I18" s="1133"/>
      <c r="J18" s="1135">
        <f>(J17/J14)*G13</f>
        <v>108</v>
      </c>
    </row>
    <row r="19" spans="1:10" ht="15.75" thickBot="1">
      <c r="A19" s="1672" t="str">
        <f>IF((J11&gt;J18),"la durée moyenne annuelle du crédit client est supérieure à celle du crédit fournisseur, risque de manque de liquidité, logique non respectée","la durée moyenne du crédit client est inférieure a celle du crédit fournisseur, possibilibilté de profiter d'un bénefice au regard des taux de placement")</f>
        <v>la durée moyenne annuelle du crédit client est supérieure à celle du crédit fournisseur, risque de manque de liquidité, logique non respectée</v>
      </c>
      <c r="B19" s="1673"/>
      <c r="C19" s="1673"/>
      <c r="D19" s="1673"/>
      <c r="E19" s="1673"/>
      <c r="F19" s="1673"/>
      <c r="G19" s="1673"/>
      <c r="H19" s="1674"/>
      <c r="I19" s="1674"/>
      <c r="J19" s="1675"/>
    </row>
    <row r="21" spans="1:10">
      <c r="A21" s="972" t="s">
        <v>1527</v>
      </c>
    </row>
    <row r="23" spans="1:10">
      <c r="A23" s="1157" t="s">
        <v>1529</v>
      </c>
      <c r="B23" s="1142"/>
      <c r="C23" s="1142"/>
      <c r="D23" s="1142"/>
      <c r="E23" s="1143"/>
      <c r="F23" s="1143"/>
      <c r="G23" s="1143"/>
      <c r="H23" s="1143"/>
      <c r="I23" s="1143"/>
      <c r="J23" s="1143"/>
    </row>
    <row r="24" spans="1:10">
      <c r="A24" s="1144" t="s">
        <v>1506</v>
      </c>
      <c r="B24" s="1142"/>
      <c r="C24" s="1142"/>
      <c r="D24" s="1142"/>
      <c r="E24" s="1143"/>
      <c r="F24" s="1143"/>
      <c r="G24" s="1143"/>
      <c r="H24" s="1143"/>
      <c r="I24" s="1143"/>
      <c r="J24" s="1143"/>
    </row>
    <row r="25" spans="1:10">
      <c r="A25" s="1152" t="s">
        <v>1507</v>
      </c>
      <c r="B25" s="1153"/>
      <c r="C25" s="1153"/>
      <c r="D25" s="1153"/>
      <c r="E25" s="1154"/>
      <c r="F25" s="1154"/>
      <c r="G25" s="1154"/>
      <c r="H25" s="1154"/>
      <c r="I25" s="1154"/>
      <c r="J25" s="1154"/>
    </row>
    <row r="26" spans="1:10">
      <c r="A26" s="1144" t="s">
        <v>1206</v>
      </c>
      <c r="B26" s="1142"/>
      <c r="C26" s="1142"/>
      <c r="D26" s="1142"/>
      <c r="E26" s="1143"/>
      <c r="F26" s="1143">
        <v>1</v>
      </c>
      <c r="G26" s="1143">
        <v>2</v>
      </c>
      <c r="H26" s="1143">
        <v>3</v>
      </c>
      <c r="I26" s="1143">
        <v>4</v>
      </c>
      <c r="J26" s="1143">
        <v>5</v>
      </c>
    </row>
    <row r="27" spans="1:10">
      <c r="A27" s="1144" t="s">
        <v>1528</v>
      </c>
      <c r="B27" s="1142"/>
      <c r="C27" s="1142"/>
      <c r="D27" s="1142"/>
      <c r="E27" s="1140">
        <v>750000</v>
      </c>
      <c r="F27" s="1143"/>
      <c r="G27" s="1143"/>
      <c r="H27" s="1143"/>
      <c r="I27" s="1143"/>
      <c r="J27" s="1143"/>
    </row>
    <row r="28" spans="1:10">
      <c r="A28" s="1144" t="s">
        <v>1508</v>
      </c>
      <c r="B28" s="1142"/>
      <c r="C28" s="1142"/>
      <c r="D28" s="1142"/>
      <c r="E28" s="1140">
        <v>7.0000000000000007E-2</v>
      </c>
      <c r="F28" s="1143">
        <f>E28</f>
        <v>7.0000000000000007E-2</v>
      </c>
      <c r="G28" s="1143">
        <f>F28</f>
        <v>7.0000000000000007E-2</v>
      </c>
      <c r="H28" s="1143">
        <f>G28</f>
        <v>7.0000000000000007E-2</v>
      </c>
      <c r="I28" s="1143">
        <f>H28</f>
        <v>7.0000000000000007E-2</v>
      </c>
      <c r="J28" s="1143">
        <f>I28</f>
        <v>7.0000000000000007E-2</v>
      </c>
    </row>
    <row r="29" spans="1:10">
      <c r="A29" s="1144" t="s">
        <v>1525</v>
      </c>
      <c r="B29" s="1142"/>
      <c r="C29" s="1142"/>
      <c r="D29" s="1142"/>
      <c r="E29" s="1143"/>
      <c r="F29" s="1140">
        <v>203000</v>
      </c>
      <c r="G29" s="1140">
        <v>203000</v>
      </c>
      <c r="H29" s="1140">
        <v>203000</v>
      </c>
      <c r="I29" s="1140">
        <v>203000</v>
      </c>
      <c r="J29" s="1140">
        <v>203000</v>
      </c>
    </row>
    <row r="30" spans="1:10">
      <c r="A30" s="1144" t="s">
        <v>1509</v>
      </c>
      <c r="B30" s="1142"/>
      <c r="C30" s="1142"/>
      <c r="D30" s="1142"/>
      <c r="E30" s="1143"/>
      <c r="F30" s="1143">
        <f>F29/((1+F28)^F26)</f>
        <v>189719.62616822429</v>
      </c>
      <c r="G30" s="1143">
        <f>G29/((1+G28)^G26)</f>
        <v>177308.06183946197</v>
      </c>
      <c r="H30" s="1143">
        <f>H29/((1+H28)^H26)</f>
        <v>165708.46900884295</v>
      </c>
      <c r="I30" s="1143">
        <f>I29/((1+I28)^I26)</f>
        <v>154867.72804564761</v>
      </c>
      <c r="J30" s="1143">
        <f>J29/((1+J28)^J26)</f>
        <v>144736.19443518468</v>
      </c>
    </row>
    <row r="31" spans="1:10">
      <c r="A31" s="1144" t="s">
        <v>1510</v>
      </c>
      <c r="B31" s="1142"/>
      <c r="C31" s="1142"/>
      <c r="D31" s="1142"/>
      <c r="E31" s="1143"/>
      <c r="F31" s="1143">
        <f>F30</f>
        <v>189719.62616822429</v>
      </c>
      <c r="G31" s="1143">
        <f>F31+G30</f>
        <v>367027.68800768629</v>
      </c>
      <c r="H31" s="1143">
        <f>G31+H30</f>
        <v>532736.15701652924</v>
      </c>
      <c r="I31" s="1143">
        <f>H31+I30</f>
        <v>687603.88506217685</v>
      </c>
      <c r="J31" s="1143">
        <f>I31+J30</f>
        <v>832340.07949736156</v>
      </c>
    </row>
    <row r="32" spans="1:10">
      <c r="A32" s="1147" t="s">
        <v>1511</v>
      </c>
      <c r="B32" s="1142"/>
      <c r="C32" s="1142"/>
      <c r="D32" s="1142"/>
      <c r="E32" s="1146">
        <f>-E27+J31</f>
        <v>82340.079497361556</v>
      </c>
      <c r="F32" s="1143"/>
      <c r="G32" s="1143"/>
      <c r="H32" s="1143"/>
      <c r="I32" s="1143"/>
      <c r="J32" s="1143"/>
    </row>
    <row r="33" spans="1:10">
      <c r="A33" s="1144" t="s">
        <v>65</v>
      </c>
      <c r="B33" s="1142"/>
      <c r="C33" s="1142"/>
      <c r="D33" s="1142"/>
      <c r="E33" s="1143" t="s">
        <v>1512</v>
      </c>
      <c r="F33" s="1143">
        <f>F29</f>
        <v>203000</v>
      </c>
      <c r="G33" s="1143" t="s">
        <v>1513</v>
      </c>
      <c r="H33" s="1143">
        <f>(F33/E28)*(1-((1+E28)^-J26))</f>
        <v>832340.07949736156</v>
      </c>
      <c r="I33" s="1143" t="s">
        <v>1514</v>
      </c>
      <c r="J33" s="1143">
        <f>-E27+H33</f>
        <v>82340.079497361556</v>
      </c>
    </row>
    <row r="34" spans="1:10">
      <c r="A34" s="1144" t="s">
        <v>1515</v>
      </c>
      <c r="B34" s="1142"/>
      <c r="C34" s="1142"/>
      <c r="D34" s="1142"/>
      <c r="E34" s="1148" t="str">
        <f>IF((E32&gt;0),"la valeur actuelle nette est positve et l'investissement est rentable","la valeur actuelle nette est négativeet l'investissement n'est pas rentable")</f>
        <v>la valeur actuelle nette est positve et l'investissement est rentable</v>
      </c>
      <c r="F34" s="1143"/>
      <c r="G34" s="1143"/>
      <c r="H34" s="1143"/>
      <c r="J34" s="1143"/>
    </row>
    <row r="35" spans="1:10">
      <c r="A35" s="1144" t="s">
        <v>1516</v>
      </c>
      <c r="B35" s="1142"/>
      <c r="C35" s="1142"/>
      <c r="D35" s="1143"/>
      <c r="E35" s="1156">
        <v>0.11014156017065932</v>
      </c>
      <c r="F35" s="1143">
        <f>E35</f>
        <v>0.11014156017065932</v>
      </c>
      <c r="G35" s="1143">
        <f>F35</f>
        <v>0.11014156017065932</v>
      </c>
      <c r="H35" s="1143">
        <f>G35</f>
        <v>0.11014156017065932</v>
      </c>
      <c r="I35" s="1143">
        <f>H35</f>
        <v>0.11014156017065932</v>
      </c>
      <c r="J35" s="1143">
        <f>I35</f>
        <v>0.11014156017065932</v>
      </c>
    </row>
    <row r="36" spans="1:10">
      <c r="A36" s="1144" t="s">
        <v>1517</v>
      </c>
      <c r="B36" s="1142"/>
      <c r="C36" s="1142"/>
      <c r="D36" s="1142"/>
      <c r="E36" s="1143">
        <f t="shared" ref="E36:J36" si="0">E29</f>
        <v>0</v>
      </c>
      <c r="F36" s="1143">
        <f t="shared" si="0"/>
        <v>203000</v>
      </c>
      <c r="G36" s="1143">
        <f t="shared" si="0"/>
        <v>203000</v>
      </c>
      <c r="H36" s="1143">
        <f t="shared" si="0"/>
        <v>203000</v>
      </c>
      <c r="I36" s="1143">
        <f t="shared" si="0"/>
        <v>203000</v>
      </c>
      <c r="J36" s="1143">
        <f t="shared" si="0"/>
        <v>203000</v>
      </c>
    </row>
    <row r="37" spans="1:10">
      <c r="A37" s="1144" t="s">
        <v>1509</v>
      </c>
      <c r="B37" s="1142"/>
      <c r="C37" s="1142"/>
      <c r="D37" s="1142"/>
      <c r="E37" s="1143"/>
      <c r="F37" s="1143">
        <f>F36/((1+F35)^F26)</f>
        <v>182859.56249470863</v>
      </c>
      <c r="G37" s="1143">
        <f>G36/((1+G35)^G26)</f>
        <v>164717.33791012931</v>
      </c>
      <c r="H37" s="1143">
        <f>H36/((1+H35)^H26)</f>
        <v>148375.07559378981</v>
      </c>
      <c r="I37" s="1143">
        <f>I36/((1+I35)^I26)</f>
        <v>133654.1941290627</v>
      </c>
      <c r="J37" s="1143">
        <f>J36/((1+J35)^J26)</f>
        <v>120393.82987203576</v>
      </c>
    </row>
    <row r="38" spans="1:10">
      <c r="A38" s="1144" t="s">
        <v>1518</v>
      </c>
      <c r="B38" s="1142"/>
      <c r="C38" s="1142"/>
      <c r="D38" s="1142"/>
      <c r="E38" s="1143"/>
      <c r="F38" s="1143">
        <f>F37</f>
        <v>182859.56249470863</v>
      </c>
      <c r="G38" s="1143">
        <f>F38+G37</f>
        <v>347576.90040483791</v>
      </c>
      <c r="H38" s="1143">
        <f>G38+H37</f>
        <v>495951.97599862772</v>
      </c>
      <c r="I38" s="1143">
        <f>H38+I37</f>
        <v>629606.17012769042</v>
      </c>
      <c r="J38" s="1143">
        <f>I38+J37</f>
        <v>749999.99999972619</v>
      </c>
    </row>
    <row r="39" spans="1:10">
      <c r="A39" s="1144" t="s">
        <v>1511</v>
      </c>
      <c r="B39" s="1142"/>
      <c r="C39" s="1142"/>
      <c r="D39" s="1142"/>
      <c r="E39" s="1143">
        <f>E27</f>
        <v>750000</v>
      </c>
      <c r="F39" s="1143" t="s">
        <v>1499</v>
      </c>
      <c r="G39" s="1143">
        <f>J38</f>
        <v>749999.99999972619</v>
      </c>
      <c r="H39" s="1143"/>
      <c r="I39" s="1143"/>
      <c r="J39" s="1154">
        <f>-E39+G39</f>
        <v>-2.7380883693695068E-7</v>
      </c>
    </row>
    <row r="40" spans="1:10">
      <c r="A40" s="1144" t="s">
        <v>1511</v>
      </c>
      <c r="B40" s="1142"/>
      <c r="C40" s="1142"/>
      <c r="D40" s="1142"/>
      <c r="E40" s="1143"/>
      <c r="F40" s="1146">
        <f>J39</f>
        <v>-2.7380883693695068E-7</v>
      </c>
      <c r="G40" s="1143"/>
      <c r="H40" s="1143"/>
      <c r="I40" s="1143" t="s">
        <v>1519</v>
      </c>
      <c r="J40" s="1143">
        <f>E35</f>
        <v>0.11014156017065932</v>
      </c>
    </row>
    <row r="41" spans="1:10">
      <c r="A41" s="1144"/>
      <c r="B41" s="1142"/>
      <c r="C41" s="1142"/>
      <c r="D41" s="1142"/>
      <c r="E41" s="1143"/>
      <c r="F41" s="1143"/>
      <c r="G41" s="1143"/>
      <c r="H41" s="1143"/>
      <c r="I41" s="1143"/>
      <c r="J41" s="1143"/>
    </row>
    <row r="42" spans="1:10">
      <c r="A42" s="1152" t="s">
        <v>1520</v>
      </c>
      <c r="B42" s="1153"/>
      <c r="C42" s="1153"/>
      <c r="D42" s="1153"/>
      <c r="E42" s="1154"/>
      <c r="F42" s="1154"/>
      <c r="G42" s="1154"/>
      <c r="H42" s="1154"/>
      <c r="I42" s="1154"/>
      <c r="J42" s="1154"/>
    </row>
    <row r="43" spans="1:10">
      <c r="A43" s="1144" t="str">
        <f>A26</f>
        <v>années</v>
      </c>
      <c r="B43" s="1142"/>
      <c r="C43" s="1142"/>
      <c r="D43" s="1142"/>
      <c r="E43" s="1143">
        <f>E26</f>
        <v>0</v>
      </c>
      <c r="F43" s="1143">
        <f>F26</f>
        <v>1</v>
      </c>
      <c r="G43" s="1143">
        <v>2</v>
      </c>
      <c r="H43" s="1143">
        <f>H26</f>
        <v>3</v>
      </c>
      <c r="I43" s="1143">
        <f>I26</f>
        <v>4</v>
      </c>
      <c r="J43" s="1143">
        <f>J26</f>
        <v>5</v>
      </c>
    </row>
    <row r="44" spans="1:10">
      <c r="A44" s="1144" t="str">
        <f>A27</f>
        <v>montant investi</v>
      </c>
      <c r="B44" s="1142"/>
      <c r="C44" s="1142"/>
      <c r="D44" s="1142"/>
      <c r="E44" s="1143">
        <f>E27</f>
        <v>750000</v>
      </c>
      <c r="F44" s="1143"/>
      <c r="G44" s="1143"/>
      <c r="H44" s="1143"/>
      <c r="I44" s="1143"/>
      <c r="J44" s="1143"/>
    </row>
    <row r="45" spans="1:10">
      <c r="A45" s="1144" t="str">
        <f>A28</f>
        <v>taux d'actualisation</v>
      </c>
      <c r="B45" s="1142"/>
      <c r="C45" s="1142"/>
      <c r="D45" s="1142"/>
      <c r="E45" s="1143">
        <f>E28</f>
        <v>7.0000000000000007E-2</v>
      </c>
      <c r="F45" s="1143">
        <f>E45</f>
        <v>7.0000000000000007E-2</v>
      </c>
      <c r="G45" s="1143">
        <f>F45</f>
        <v>7.0000000000000007E-2</v>
      </c>
      <c r="H45" s="1143">
        <f>G45</f>
        <v>7.0000000000000007E-2</v>
      </c>
      <c r="I45" s="1143">
        <f>H45</f>
        <v>7.0000000000000007E-2</v>
      </c>
      <c r="J45" s="1143">
        <f>I45</f>
        <v>7.0000000000000007E-2</v>
      </c>
    </row>
    <row r="46" spans="1:10">
      <c r="A46" s="1144" t="s">
        <v>1526</v>
      </c>
      <c r="B46" s="1142"/>
      <c r="C46" s="1142"/>
      <c r="D46" s="1142"/>
      <c r="E46" s="1143"/>
      <c r="F46" s="1140">
        <v>190000</v>
      </c>
      <c r="G46" s="1140">
        <v>200000</v>
      </c>
      <c r="H46" s="1140">
        <v>300000</v>
      </c>
      <c r="I46" s="1140">
        <v>350000</v>
      </c>
      <c r="J46" s="1140">
        <v>360000</v>
      </c>
    </row>
    <row r="47" spans="1:10">
      <c r="A47" s="1144" t="str">
        <f>A30</f>
        <v>valeur actuelle nette</v>
      </c>
      <c r="B47" s="1142"/>
      <c r="C47" s="1142"/>
      <c r="D47" s="1142"/>
      <c r="E47" s="1143"/>
      <c r="F47" s="1143">
        <f>F46/((1+F45)^F43)</f>
        <v>177570.09345794391</v>
      </c>
      <c r="G47" s="1143">
        <f>G46/((1+G45)^G43)</f>
        <v>174687.74565464232</v>
      </c>
      <c r="H47" s="1143">
        <f>H46/((1+H45)^H43)</f>
        <v>244889.36306725559</v>
      </c>
      <c r="I47" s="1143">
        <f>I46/((1+I45)^I43)</f>
        <v>267013.3242166338</v>
      </c>
      <c r="J47" s="1143">
        <f>J46/((1+J45)^J43)</f>
        <v>256675.0246141206</v>
      </c>
    </row>
    <row r="48" spans="1:10">
      <c r="A48" s="1144" t="str">
        <f>A31</f>
        <v>van cumulé</v>
      </c>
      <c r="B48" s="1142"/>
      <c r="C48" s="1142"/>
      <c r="D48" s="1142"/>
      <c r="E48" s="1143"/>
      <c r="F48" s="1143">
        <f>F47</f>
        <v>177570.09345794391</v>
      </c>
      <c r="G48" s="1143">
        <f>F48+G47</f>
        <v>352257.83911258623</v>
      </c>
      <c r="H48" s="1143">
        <f>G48+H47</f>
        <v>597147.20217984181</v>
      </c>
      <c r="I48" s="1143">
        <f>H48+I47</f>
        <v>864160.52639647562</v>
      </c>
      <c r="J48" s="1143">
        <f>I48+J47</f>
        <v>1120835.5510105961</v>
      </c>
    </row>
    <row r="49" spans="1:10">
      <c r="A49" s="1144" t="str">
        <f>A32</f>
        <v>VAN</v>
      </c>
      <c r="B49" s="1142"/>
      <c r="C49" s="1142"/>
      <c r="D49" s="1142"/>
      <c r="E49" s="1146">
        <f>-E44+J48</f>
        <v>370835.5510105961</v>
      </c>
      <c r="F49" s="1143"/>
      <c r="G49" s="1143"/>
      <c r="H49" s="1143"/>
      <c r="I49" s="1143"/>
      <c r="J49" s="1143"/>
    </row>
    <row r="50" spans="1:10">
      <c r="A50" s="1141" t="s">
        <v>1515</v>
      </c>
      <c r="B50" s="1142"/>
      <c r="C50" s="1142"/>
      <c r="D50" s="1142"/>
      <c r="E50" s="1148" t="str">
        <f>IF((E49&gt;0),"la valeur actuelle nette est positve et l'investissement est rentable","la valeur actuelle nette est négativeet l'investissement n'est pas rentable")</f>
        <v>la valeur actuelle nette est positve et l'investissement est rentable</v>
      </c>
      <c r="F50" s="1145"/>
      <c r="G50" s="1145"/>
      <c r="H50" s="1145"/>
      <c r="I50" s="1143"/>
      <c r="J50" s="1143"/>
    </row>
    <row r="51" spans="1:10">
      <c r="A51" s="1144" t="s">
        <v>1521</v>
      </c>
      <c r="B51" s="1142"/>
      <c r="C51" s="1142"/>
      <c r="D51" s="1142"/>
      <c r="E51" s="1155">
        <v>0.21808827082863</v>
      </c>
      <c r="F51" s="1143">
        <f>E51</f>
        <v>0.21808827082863</v>
      </c>
      <c r="G51" s="1143">
        <f>F51</f>
        <v>0.21808827082863</v>
      </c>
      <c r="H51" s="1143">
        <f>G51</f>
        <v>0.21808827082863</v>
      </c>
      <c r="I51" s="1143">
        <f>H51</f>
        <v>0.21808827082863</v>
      </c>
      <c r="J51" s="1143">
        <f>I51</f>
        <v>0.21808827082863</v>
      </c>
    </row>
    <row r="52" spans="1:10">
      <c r="A52" s="1144" t="s">
        <v>1517</v>
      </c>
      <c r="B52" s="1142"/>
      <c r="C52" s="1142"/>
      <c r="D52" s="1142"/>
      <c r="E52" s="1143"/>
      <c r="F52" s="1143">
        <f>F46</f>
        <v>190000</v>
      </c>
      <c r="G52" s="1143">
        <f>G46</f>
        <v>200000</v>
      </c>
      <c r="H52" s="1143">
        <f>H46</f>
        <v>300000</v>
      </c>
      <c r="I52" s="1143">
        <f>I46</f>
        <v>350000</v>
      </c>
      <c r="J52" s="1143">
        <f>J46</f>
        <v>360000</v>
      </c>
    </row>
    <row r="53" spans="1:10">
      <c r="A53" s="1144" t="s">
        <v>1509</v>
      </c>
      <c r="B53" s="1142"/>
      <c r="C53" s="1142"/>
      <c r="D53" s="1142"/>
      <c r="E53" s="1143"/>
      <c r="F53" s="1143">
        <f>F52/((1+F51)^F43)</f>
        <v>155982.12752738234</v>
      </c>
      <c r="G53" s="1143">
        <f>G52/((1+G51)^G43)</f>
        <v>134794.59339594774</v>
      </c>
      <c r="H53" s="1143">
        <f>H52/((1+H51)^H43)</f>
        <v>165991.16413490818</v>
      </c>
      <c r="I53" s="1143">
        <f>I52/((1+I51)^I43)</f>
        <v>158983.84607681519</v>
      </c>
      <c r="J53" s="1143">
        <f>J52/((1+J51)^J43)</f>
        <v>134248.26886130983</v>
      </c>
    </row>
    <row r="54" spans="1:10">
      <c r="A54" s="1144" t="s">
        <v>1522</v>
      </c>
      <c r="B54" s="1142"/>
      <c r="C54" s="1142"/>
      <c r="D54" s="1142"/>
      <c r="E54" s="1143"/>
      <c r="F54" s="1143">
        <f>F53</f>
        <v>155982.12752738234</v>
      </c>
      <c r="G54" s="1143">
        <f>F54+G53</f>
        <v>290776.72092333005</v>
      </c>
      <c r="H54" s="1143">
        <f>G54+H53</f>
        <v>456767.88505823823</v>
      </c>
      <c r="I54" s="1143">
        <f>H54+I53</f>
        <v>615751.73113505344</v>
      </c>
      <c r="J54" s="1143">
        <f>I54+J53</f>
        <v>749999.9999963633</v>
      </c>
    </row>
    <row r="55" spans="1:10">
      <c r="A55" s="1144" t="s">
        <v>1514</v>
      </c>
      <c r="B55" s="1142"/>
      <c r="C55" s="1142"/>
      <c r="D55" s="1142"/>
      <c r="E55" s="1143">
        <f>E44</f>
        <v>750000</v>
      </c>
      <c r="F55" s="1143" t="s">
        <v>1499</v>
      </c>
      <c r="G55" s="1143">
        <f>J54</f>
        <v>749999.9999963633</v>
      </c>
      <c r="H55" s="1143"/>
      <c r="I55" s="1143"/>
      <c r="J55" s="1154">
        <f>-E55+G55</f>
        <v>-3.6366982385516167E-6</v>
      </c>
    </row>
    <row r="56" spans="1:10">
      <c r="A56" s="1144" t="s">
        <v>1511</v>
      </c>
      <c r="B56" s="1142"/>
      <c r="C56" s="1142"/>
      <c r="D56" s="1142"/>
      <c r="E56" s="1143"/>
      <c r="F56" s="1146">
        <f>J55</f>
        <v>-3.6366982385516167E-6</v>
      </c>
      <c r="G56" s="1143"/>
      <c r="H56" s="1143"/>
      <c r="I56" s="1143" t="s">
        <v>1519</v>
      </c>
      <c r="J56" s="1143">
        <f>E51</f>
        <v>0.21808827082863</v>
      </c>
    </row>
    <row r="57" spans="1:10">
      <c r="A57" s="1144" t="s">
        <v>1523</v>
      </c>
      <c r="B57" s="1142"/>
      <c r="C57" s="1142"/>
      <c r="D57" s="1148"/>
      <c r="E57" s="1143"/>
      <c r="F57" s="1143"/>
      <c r="H57" s="1143"/>
      <c r="I57" s="1143"/>
      <c r="J57" s="1143"/>
    </row>
    <row r="58" spans="1:10">
      <c r="A58" s="1144" t="str">
        <f>A25</f>
        <v>investissement premier</v>
      </c>
      <c r="B58" s="1142"/>
      <c r="C58" s="1142"/>
      <c r="D58" s="1142"/>
      <c r="E58" s="1143" t="s">
        <v>1511</v>
      </c>
      <c r="F58" s="1143">
        <f>E32</f>
        <v>82340.079497361556</v>
      </c>
      <c r="G58" s="1143"/>
      <c r="H58" s="1143"/>
      <c r="I58" s="1143" t="s">
        <v>1519</v>
      </c>
      <c r="J58" s="1143">
        <f>J40</f>
        <v>0.11014156017065932</v>
      </c>
    </row>
    <row r="59" spans="1:10">
      <c r="A59" s="1144" t="str">
        <f>A42</f>
        <v>investissement deuxième</v>
      </c>
      <c r="B59" s="1142"/>
      <c r="C59" s="1142"/>
      <c r="D59" s="1142"/>
      <c r="E59" s="1143" t="s">
        <v>1511</v>
      </c>
      <c r="F59" s="1143">
        <f>E49</f>
        <v>370835.5510105961</v>
      </c>
      <c r="G59" s="1143"/>
      <c r="H59" s="1143"/>
      <c r="I59" s="1143" t="s">
        <v>1519</v>
      </c>
      <c r="J59" s="1143">
        <f>J56</f>
        <v>0.21808827082863</v>
      </c>
    </row>
    <row r="60" spans="1:10">
      <c r="A60" s="1144" t="s">
        <v>1212</v>
      </c>
      <c r="B60" s="1142"/>
      <c r="C60" s="1142"/>
      <c r="D60" s="1142"/>
      <c r="E60" s="1143"/>
      <c r="F60" s="1143">
        <f>F58-F59</f>
        <v>-288495.47151323454</v>
      </c>
      <c r="G60" s="1143"/>
      <c r="H60" s="1143"/>
      <c r="I60" s="1143"/>
      <c r="J60" s="1143">
        <f>J58-J59</f>
        <v>-0.10794671065797068</v>
      </c>
    </row>
    <row r="61" spans="1:10">
      <c r="A61" s="1144" t="s">
        <v>1524</v>
      </c>
      <c r="B61" s="1142"/>
      <c r="C61" s="1142"/>
      <c r="D61" s="1142"/>
      <c r="E61" s="1143"/>
      <c r="F61" s="1143"/>
      <c r="G61" s="1143"/>
      <c r="H61" s="1143"/>
      <c r="I61" s="1143"/>
      <c r="J61" s="1143"/>
    </row>
    <row r="62" spans="1:10" ht="13.5">
      <c r="A62" s="1149" t="str">
        <f>IF((E32&gt;E49),"la van de l'investissement 1 est supérieure a celle de l'investissement 2, elle est plus rentable, vérifier le temps de récupération du capital"," la van de l'investissement 2 est supérieure, le temps de récupération du capital peut être déterminant pour la trésorerie")</f>
        <v xml:space="preserve"> la van de l'investissement 2 est supérieure, le temps de récupération du capital peut être déterminant pour la trésorerie</v>
      </c>
      <c r="B62" s="1150"/>
      <c r="C62" s="1150"/>
      <c r="D62" s="1150"/>
      <c r="E62" s="1150"/>
      <c r="F62" s="1150"/>
      <c r="G62" s="1150"/>
      <c r="H62" s="1151"/>
      <c r="I62" s="1151"/>
      <c r="J62" s="1151"/>
    </row>
    <row r="65" spans="1:10">
      <c r="A65" s="965" t="s">
        <v>1366</v>
      </c>
    </row>
    <row r="66" spans="1:10" ht="13.5" thickBot="1">
      <c r="A66" s="965"/>
    </row>
    <row r="67" spans="1:10">
      <c r="A67" s="973"/>
      <c r="B67" s="974" t="s">
        <v>1207</v>
      </c>
      <c r="C67" s="974" t="s">
        <v>1208</v>
      </c>
      <c r="D67" s="974" t="s">
        <v>1209</v>
      </c>
      <c r="E67" s="974" t="s">
        <v>1210</v>
      </c>
      <c r="F67" s="974" t="s">
        <v>1211</v>
      </c>
      <c r="G67" s="974" t="s">
        <v>1212</v>
      </c>
      <c r="H67" s="974" t="s">
        <v>1213</v>
      </c>
      <c r="I67" s="974" t="s">
        <v>1214</v>
      </c>
      <c r="J67" s="975" t="s">
        <v>1215</v>
      </c>
    </row>
    <row r="68" spans="1:10">
      <c r="A68" s="976" t="s">
        <v>1216</v>
      </c>
      <c r="B68" s="987">
        <v>15000</v>
      </c>
      <c r="C68" s="987">
        <v>14000</v>
      </c>
      <c r="D68" s="977">
        <f>C68-B68</f>
        <v>-1000</v>
      </c>
      <c r="E68" s="519">
        <v>14000</v>
      </c>
      <c r="F68" s="519">
        <v>12000</v>
      </c>
      <c r="G68" s="977">
        <f>F68-E68</f>
        <v>-2000</v>
      </c>
      <c r="H68" s="977">
        <f>B68-E68</f>
        <v>1000</v>
      </c>
      <c r="I68" s="977">
        <f>C68-F68</f>
        <v>2000</v>
      </c>
      <c r="J68" s="978">
        <f>I68-H68</f>
        <v>1000</v>
      </c>
    </row>
    <row r="69" spans="1:10">
      <c r="A69" s="976" t="s">
        <v>1217</v>
      </c>
      <c r="B69" s="987">
        <v>20000</v>
      </c>
      <c r="C69" s="987">
        <v>25000</v>
      </c>
      <c r="D69" s="977">
        <f>C69-B69</f>
        <v>5000</v>
      </c>
      <c r="E69" s="519">
        <v>18000</v>
      </c>
      <c r="F69" s="519">
        <v>20000</v>
      </c>
      <c r="G69" s="977">
        <f>F69-E69</f>
        <v>2000</v>
      </c>
      <c r="H69" s="977">
        <f>B69-E69</f>
        <v>2000</v>
      </c>
      <c r="I69" s="977">
        <f>C69-F69</f>
        <v>5000</v>
      </c>
      <c r="J69" s="978">
        <f>I69-H69</f>
        <v>3000</v>
      </c>
    </row>
    <row r="70" spans="1:10">
      <c r="A70" s="976" t="s">
        <v>1218</v>
      </c>
      <c r="B70" s="987">
        <v>10000</v>
      </c>
      <c r="C70" s="987">
        <v>12500</v>
      </c>
      <c r="D70" s="977">
        <f t="shared" ref="D70:D76" si="1">C70-B70</f>
        <v>2500</v>
      </c>
      <c r="E70" s="519">
        <v>12500</v>
      </c>
      <c r="F70" s="519">
        <v>15000</v>
      </c>
      <c r="G70" s="977">
        <f t="shared" ref="G70:G76" si="2">F70-E70</f>
        <v>2500</v>
      </c>
      <c r="H70" s="977">
        <f t="shared" ref="H70:I76" si="3">B70-E70</f>
        <v>-2500</v>
      </c>
      <c r="I70" s="977">
        <f t="shared" si="3"/>
        <v>-2500</v>
      </c>
      <c r="J70" s="978">
        <f t="shared" ref="J70:J76" si="4">I70-H70</f>
        <v>0</v>
      </c>
    </row>
    <row r="71" spans="1:10">
      <c r="A71" s="976" t="s">
        <v>1219</v>
      </c>
      <c r="B71" s="987">
        <v>8000</v>
      </c>
      <c r="C71" s="987">
        <v>5000</v>
      </c>
      <c r="D71" s="977">
        <f t="shared" si="1"/>
        <v>-3000</v>
      </c>
      <c r="E71" s="519">
        <v>5000</v>
      </c>
      <c r="F71" s="519">
        <v>4500</v>
      </c>
      <c r="G71" s="977">
        <f t="shared" si="2"/>
        <v>-500</v>
      </c>
      <c r="H71" s="977">
        <f t="shared" si="3"/>
        <v>3000</v>
      </c>
      <c r="I71" s="977">
        <f t="shared" si="3"/>
        <v>500</v>
      </c>
      <c r="J71" s="978">
        <f t="shared" si="4"/>
        <v>-2500</v>
      </c>
    </row>
    <row r="72" spans="1:10">
      <c r="A72" s="976" t="s">
        <v>1220</v>
      </c>
      <c r="B72" s="987">
        <v>9000</v>
      </c>
      <c r="C72" s="987">
        <v>10000</v>
      </c>
      <c r="D72" s="977">
        <f t="shared" si="1"/>
        <v>1000</v>
      </c>
      <c r="E72" s="519">
        <v>6000</v>
      </c>
      <c r="F72" s="519">
        <v>7000</v>
      </c>
      <c r="G72" s="977">
        <f t="shared" si="2"/>
        <v>1000</v>
      </c>
      <c r="H72" s="977">
        <f t="shared" si="3"/>
        <v>3000</v>
      </c>
      <c r="I72" s="977">
        <f t="shared" si="3"/>
        <v>3000</v>
      </c>
      <c r="J72" s="978">
        <f t="shared" si="4"/>
        <v>0</v>
      </c>
    </row>
    <row r="73" spans="1:10">
      <c r="A73" s="976" t="s">
        <v>1221</v>
      </c>
      <c r="B73" s="987">
        <v>12000</v>
      </c>
      <c r="C73" s="987">
        <v>12000</v>
      </c>
      <c r="D73" s="977">
        <f t="shared" si="1"/>
        <v>0</v>
      </c>
      <c r="E73" s="519">
        <v>12500</v>
      </c>
      <c r="F73" s="519">
        <v>9000</v>
      </c>
      <c r="G73" s="977">
        <f t="shared" si="2"/>
        <v>-3500</v>
      </c>
      <c r="H73" s="977">
        <f t="shared" si="3"/>
        <v>-500</v>
      </c>
      <c r="I73" s="977">
        <f t="shared" si="3"/>
        <v>3000</v>
      </c>
      <c r="J73" s="978">
        <f t="shared" si="4"/>
        <v>3500</v>
      </c>
    </row>
    <row r="74" spans="1:10">
      <c r="A74" s="976" t="s">
        <v>1222</v>
      </c>
      <c r="B74" s="987">
        <v>15000</v>
      </c>
      <c r="C74" s="987">
        <v>17000</v>
      </c>
      <c r="D74" s="977">
        <f t="shared" si="1"/>
        <v>2000</v>
      </c>
      <c r="E74" s="519">
        <v>14000</v>
      </c>
      <c r="F74" s="519">
        <v>15000</v>
      </c>
      <c r="G74" s="977">
        <f t="shared" si="2"/>
        <v>1000</v>
      </c>
      <c r="H74" s="977">
        <f t="shared" si="3"/>
        <v>1000</v>
      </c>
      <c r="I74" s="977">
        <f t="shared" si="3"/>
        <v>2000</v>
      </c>
      <c r="J74" s="978">
        <f t="shared" si="4"/>
        <v>1000</v>
      </c>
    </row>
    <row r="75" spans="1:10">
      <c r="A75" s="976" t="s">
        <v>1223</v>
      </c>
      <c r="B75" s="987">
        <v>56000</v>
      </c>
      <c r="C75" s="987">
        <v>68000</v>
      </c>
      <c r="D75" s="977">
        <f t="shared" si="1"/>
        <v>12000</v>
      </c>
      <c r="E75" s="519">
        <v>25000</v>
      </c>
      <c r="F75" s="519">
        <v>30000</v>
      </c>
      <c r="G75" s="977">
        <f t="shared" si="2"/>
        <v>5000</v>
      </c>
      <c r="H75" s="977">
        <f t="shared" si="3"/>
        <v>31000</v>
      </c>
      <c r="I75" s="977">
        <f t="shared" si="3"/>
        <v>38000</v>
      </c>
      <c r="J75" s="978">
        <f t="shared" si="4"/>
        <v>7000</v>
      </c>
    </row>
    <row r="76" spans="1:10">
      <c r="A76" s="976" t="s">
        <v>1224</v>
      </c>
      <c r="B76" s="987">
        <v>27000</v>
      </c>
      <c r="C76" s="987">
        <v>25084</v>
      </c>
      <c r="D76" s="977">
        <f t="shared" si="1"/>
        <v>-1916</v>
      </c>
      <c r="E76" s="519">
        <v>20000</v>
      </c>
      <c r="F76" s="519">
        <v>15000</v>
      </c>
      <c r="G76" s="977">
        <f t="shared" si="2"/>
        <v>-5000</v>
      </c>
      <c r="H76" s="977">
        <f t="shared" si="3"/>
        <v>7000</v>
      </c>
      <c r="I76" s="977">
        <f t="shared" si="3"/>
        <v>10084</v>
      </c>
      <c r="J76" s="978">
        <f t="shared" si="4"/>
        <v>3084</v>
      </c>
    </row>
    <row r="77" spans="1:10">
      <c r="A77" s="979" t="str">
        <f>" Pour "&amp;A68&amp;",Nous observons un écart sur "&amp;C67&amp;" de  "&amp;D68&amp;" "</f>
        <v xml:space="preserve"> Pour univers 0,Nous observons un écart sur CA  ht de  -1000 </v>
      </c>
      <c r="B77" s="977"/>
      <c r="C77" s="977"/>
      <c r="D77" s="977"/>
      <c r="E77" s="977"/>
      <c r="F77" s="977"/>
      <c r="G77" s="977"/>
      <c r="H77" s="977"/>
      <c r="I77" s="977"/>
      <c r="J77" s="978"/>
    </row>
    <row r="78" spans="1:10">
      <c r="A78" s="979" t="str">
        <f>" Pour cet univers, Nous observons un écart sur "&amp;F67&amp;" de  "&amp;G68&amp;" "</f>
        <v xml:space="preserve"> Pour cet univers, Nous observons un écart sur achat ht de  -2000 </v>
      </c>
      <c r="B78" s="977"/>
      <c r="C78" s="977"/>
      <c r="D78" s="977"/>
      <c r="E78" s="977"/>
      <c r="F78" s="977"/>
      <c r="G78" s="977"/>
      <c r="H78" s="977"/>
      <c r="I78" s="977"/>
      <c r="J78" s="978"/>
    </row>
    <row r="79" spans="1:10">
      <c r="A79" s="979" t="str">
        <f>" Pour cet univers,  Nous observons un écart sur "&amp;I67&amp;" de  "&amp;J68&amp;" "</f>
        <v xml:space="preserve"> Pour cet univers,  Nous observons un écart sur marge réelle de  1000 </v>
      </c>
      <c r="B79" s="977"/>
      <c r="C79" s="977"/>
      <c r="D79" s="977"/>
      <c r="E79" s="977"/>
      <c r="F79" s="977"/>
      <c r="G79" s="977"/>
      <c r="H79" s="977"/>
      <c r="I79" s="977"/>
      <c r="J79" s="978"/>
    </row>
    <row r="80" spans="1:10">
      <c r="A80" s="976"/>
      <c r="B80" s="977"/>
      <c r="C80" s="977"/>
      <c r="D80" s="977"/>
      <c r="E80" s="977"/>
      <c r="F80" s="977"/>
      <c r="G80" s="977"/>
      <c r="H80" s="977"/>
      <c r="I80" s="977"/>
      <c r="J80" s="978"/>
    </row>
    <row r="81" spans="1:10">
      <c r="A81" s="976" t="s">
        <v>1225</v>
      </c>
      <c r="B81" s="977"/>
      <c r="C81" s="977" t="s">
        <v>1226</v>
      </c>
      <c r="D81" s="977" t="s">
        <v>1227</v>
      </c>
      <c r="E81" s="977" t="s">
        <v>1151</v>
      </c>
      <c r="F81" s="977"/>
      <c r="G81" s="977" t="s">
        <v>1228</v>
      </c>
      <c r="H81" s="977" t="s">
        <v>1227</v>
      </c>
      <c r="I81" s="977"/>
      <c r="J81" s="978"/>
    </row>
    <row r="82" spans="1:10">
      <c r="A82" s="980"/>
      <c r="B82" s="981"/>
      <c r="C82" s="981">
        <f>B68/E68</f>
        <v>1.0714285714285714</v>
      </c>
      <c r="D82" s="981">
        <f>C68/F68</f>
        <v>1.1666666666666667</v>
      </c>
      <c r="E82" s="981"/>
      <c r="F82" s="981"/>
      <c r="G82" s="981">
        <f>H68</f>
        <v>1000</v>
      </c>
      <c r="H82" s="981">
        <f>I68</f>
        <v>2000</v>
      </c>
      <c r="I82" s="977"/>
      <c r="J82" s="978"/>
    </row>
    <row r="83" spans="1:10">
      <c r="A83" s="982" t="s">
        <v>1229</v>
      </c>
      <c r="B83" s="981"/>
      <c r="C83" s="981">
        <f>B69/E69</f>
        <v>1.1111111111111112</v>
      </c>
      <c r="D83" s="981">
        <f>C69/F69</f>
        <v>1.25</v>
      </c>
      <c r="E83" s="983" t="s">
        <v>1230</v>
      </c>
      <c r="F83" s="981"/>
      <c r="G83" s="981" t="s">
        <v>1231</v>
      </c>
      <c r="H83" s="981" t="s">
        <v>1227</v>
      </c>
      <c r="I83" s="977"/>
      <c r="J83" s="978"/>
    </row>
    <row r="84" spans="1:10">
      <c r="A84" s="980"/>
      <c r="B84" s="981"/>
      <c r="C84" s="981">
        <f>H68/B68</f>
        <v>6.6666666666666666E-2</v>
      </c>
      <c r="D84" s="981">
        <f>I68/C68</f>
        <v>0.14285714285714285</v>
      </c>
      <c r="E84" s="981"/>
      <c r="F84" s="981"/>
      <c r="G84" s="981">
        <f>H68/E68</f>
        <v>7.1428571428571425E-2</v>
      </c>
      <c r="H84" s="981">
        <f>I68/F68</f>
        <v>0.16666666666666666</v>
      </c>
      <c r="I84" s="977"/>
      <c r="J84" s="978"/>
    </row>
    <row r="85" spans="1:10">
      <c r="A85" s="979" t="str">
        <f>" Pour "&amp;A68&amp;",Nous observons  un coefficient multiplicateur de "&amp;C82&amp;" contre un réalisé de  "&amp;D82&amp;""""</f>
        <v xml:space="preserve"> Pour univers 0,Nous observons  un coefficient multiplicateur de 1.07142857142857 contre un réalisé de  1.16666666666667"</v>
      </c>
      <c r="B85" s="977"/>
      <c r="C85" s="977"/>
      <c r="D85" s="977"/>
      <c r="E85" s="977"/>
      <c r="F85" s="977"/>
      <c r="G85" s="977"/>
      <c r="H85" s="977"/>
      <c r="I85" s="977"/>
      <c r="J85" s="978"/>
    </row>
    <row r="86" spans="1:10">
      <c r="A86" s="979" t="str">
        <f>" Nous observons  une marge commerciale prévu  de "&amp;G82&amp;" contre une réalisée de  "&amp;H82&amp;""""</f>
        <v xml:space="preserve"> Nous observons  une marge commerciale prévu  de 1000 contre une réalisée de  2000"</v>
      </c>
      <c r="B86" s="977"/>
      <c r="C86" s="977"/>
      <c r="D86" s="977"/>
      <c r="E86" s="977"/>
      <c r="F86" s="977"/>
      <c r="G86" s="977"/>
      <c r="H86" s="977"/>
      <c r="I86" s="977"/>
      <c r="J86" s="978"/>
    </row>
    <row r="87" spans="1:10">
      <c r="A87" s="979" t="str">
        <f>" Nous observons  un taux de marque de "&amp;C84&amp;" contre unréalisé de  "&amp;D84&amp;""""</f>
        <v xml:space="preserve"> Nous observons  un taux de marque de 0.0666666666666667 contre unréalisé de  0.142857142857143"</v>
      </c>
      <c r="B87" s="977"/>
      <c r="C87" s="977"/>
      <c r="D87" s="977"/>
      <c r="E87" s="977"/>
      <c r="F87" s="977"/>
      <c r="G87" s="977"/>
      <c r="H87" s="977"/>
      <c r="I87" s="977"/>
      <c r="J87" s="978"/>
    </row>
    <row r="88" spans="1:10" ht="13.5" thickBot="1">
      <c r="A88" s="984"/>
      <c r="B88" s="985"/>
      <c r="C88" s="985"/>
      <c r="D88" s="985"/>
      <c r="E88" s="985"/>
      <c r="F88" s="985"/>
      <c r="G88" s="985"/>
      <c r="H88" s="985"/>
      <c r="I88" s="985"/>
      <c r="J88" s="986"/>
    </row>
    <row r="90" spans="1:10" ht="15">
      <c r="A90" s="968" t="s">
        <v>1375</v>
      </c>
      <c r="B90" s="966"/>
      <c r="C90" s="966"/>
      <c r="D90" s="966"/>
      <c r="E90" s="966"/>
      <c r="F90" s="967"/>
      <c r="G90" s="967"/>
      <c r="H90" s="967"/>
      <c r="I90" s="966"/>
      <c r="J90" s="966"/>
    </row>
    <row r="91" spans="1:10" ht="15">
      <c r="A91" s="969"/>
      <c r="B91" s="966"/>
      <c r="C91" s="966"/>
      <c r="D91" s="966"/>
      <c r="E91" s="966"/>
      <c r="F91" s="967"/>
      <c r="G91" s="967"/>
      <c r="H91" s="967"/>
      <c r="I91" s="966"/>
      <c r="J91" s="966"/>
    </row>
    <row r="92" spans="1:10">
      <c r="A92" s="858"/>
      <c r="B92" s="858" t="s">
        <v>1232</v>
      </c>
      <c r="C92" s="858" t="s">
        <v>1232</v>
      </c>
      <c r="D92" s="858" t="s">
        <v>1232</v>
      </c>
      <c r="E92" s="858" t="s">
        <v>1232</v>
      </c>
      <c r="F92" s="857"/>
      <c r="G92" s="857"/>
      <c r="H92" s="857"/>
      <c r="I92" s="858"/>
      <c r="J92" s="858" t="s">
        <v>1232</v>
      </c>
    </row>
    <row r="93" spans="1:10">
      <c r="A93" s="858" t="s">
        <v>1233</v>
      </c>
      <c r="B93" s="858" t="s">
        <v>1234</v>
      </c>
      <c r="C93" s="858" t="s">
        <v>1235</v>
      </c>
      <c r="D93" s="858" t="s">
        <v>1236</v>
      </c>
      <c r="E93" s="858" t="s">
        <v>1237</v>
      </c>
      <c r="F93" s="857"/>
      <c r="G93" s="857"/>
      <c r="H93" s="857"/>
      <c r="I93" s="858"/>
      <c r="J93" s="858" t="s">
        <v>15</v>
      </c>
    </row>
    <row r="94" spans="1:10">
      <c r="A94" s="858">
        <v>1</v>
      </c>
      <c r="B94" s="876">
        <v>202</v>
      </c>
      <c r="C94" s="876">
        <v>150</v>
      </c>
      <c r="D94" s="876">
        <v>50</v>
      </c>
      <c r="E94" s="876">
        <v>100</v>
      </c>
      <c r="F94" s="857"/>
      <c r="G94" s="857"/>
      <c r="H94" s="857"/>
      <c r="I94" s="858"/>
      <c r="J94" s="858">
        <f>SUM(B94:E94)</f>
        <v>502</v>
      </c>
    </row>
    <row r="95" spans="1:10">
      <c r="A95" s="858">
        <v>2</v>
      </c>
      <c r="B95" s="876">
        <v>210</v>
      </c>
      <c r="C95" s="876">
        <v>170</v>
      </c>
      <c r="D95" s="876">
        <v>200</v>
      </c>
      <c r="E95" s="876">
        <v>110</v>
      </c>
      <c r="F95" s="857"/>
      <c r="G95" s="857"/>
      <c r="H95" s="857"/>
      <c r="I95" s="858"/>
      <c r="J95" s="858">
        <f>SUM(B95:E95)</f>
        <v>690</v>
      </c>
    </row>
    <row r="96" spans="1:10">
      <c r="A96" s="858">
        <v>3</v>
      </c>
      <c r="B96" s="876">
        <v>218</v>
      </c>
      <c r="C96" s="876">
        <v>190</v>
      </c>
      <c r="D96" s="876">
        <v>350</v>
      </c>
      <c r="E96" s="876">
        <v>120</v>
      </c>
      <c r="F96" s="857"/>
      <c r="G96" s="857"/>
      <c r="H96" s="857"/>
      <c r="I96" s="858"/>
      <c r="J96" s="858">
        <f>SUM(B96:E96)</f>
        <v>878</v>
      </c>
    </row>
    <row r="97" spans="1:10">
      <c r="A97" s="858">
        <v>4</v>
      </c>
      <c r="B97" s="876">
        <v>226</v>
      </c>
      <c r="C97" s="876">
        <v>210</v>
      </c>
      <c r="D97" s="876">
        <v>500</v>
      </c>
      <c r="E97" s="876">
        <v>130</v>
      </c>
      <c r="F97" s="857"/>
      <c r="G97" s="857"/>
      <c r="H97" s="857"/>
      <c r="I97" s="858"/>
      <c r="J97" s="858">
        <f>SUM(B97:E97)</f>
        <v>1066</v>
      </c>
    </row>
    <row r="98" spans="1:10">
      <c r="A98" s="858">
        <v>5</v>
      </c>
      <c r="B98" s="876">
        <v>234</v>
      </c>
      <c r="C98" s="876">
        <v>230</v>
      </c>
      <c r="D98" s="876">
        <v>650</v>
      </c>
      <c r="E98" s="876">
        <v>140</v>
      </c>
      <c r="F98" s="857"/>
      <c r="G98" s="857"/>
      <c r="H98" s="857"/>
      <c r="I98" s="858"/>
      <c r="J98" s="858">
        <f>SUM(B98:E98)</f>
        <v>1254</v>
      </c>
    </row>
    <row r="99" spans="1:10">
      <c r="A99" s="859" t="s">
        <v>1238</v>
      </c>
      <c r="B99" s="859">
        <f>SUM(B94:B98)/5</f>
        <v>218</v>
      </c>
      <c r="C99" s="859">
        <f>SUM(C94:C98)/5</f>
        <v>190</v>
      </c>
      <c r="D99" s="859">
        <f>SUM(D94:D98)/5</f>
        <v>350</v>
      </c>
      <c r="E99" s="859">
        <f>SUM(E94:E98)/5</f>
        <v>120</v>
      </c>
      <c r="F99" s="857"/>
      <c r="G99" s="857"/>
      <c r="H99" s="857"/>
      <c r="I99" s="859"/>
      <c r="J99" s="859">
        <f>SUM(B99:E99)/4</f>
        <v>219.5</v>
      </c>
    </row>
    <row r="100" spans="1:10">
      <c r="A100" s="858" t="s">
        <v>1239</v>
      </c>
      <c r="B100" s="858">
        <f>B99/J99</f>
        <v>0.99316628701594534</v>
      </c>
      <c r="C100" s="858">
        <f>C99/J99</f>
        <v>0.86560364464692485</v>
      </c>
      <c r="D100" s="858">
        <f>D99/J99</f>
        <v>1.5945330296127562</v>
      </c>
      <c r="E100" s="858">
        <f>E99/J99</f>
        <v>0.54669703872437359</v>
      </c>
      <c r="F100" s="857"/>
      <c r="G100" s="857"/>
      <c r="H100" s="857"/>
      <c r="I100" s="858"/>
      <c r="J100" s="858">
        <f>SUM(B100:E100)</f>
        <v>3.9999999999999996</v>
      </c>
    </row>
    <row r="101" spans="1:10">
      <c r="A101" s="858" t="s">
        <v>1240</v>
      </c>
      <c r="B101" s="959">
        <f>B99/SUM(B99:E99)</f>
        <v>0.24829157175398633</v>
      </c>
      <c r="C101" s="959">
        <f>C99/SUM(B99:E99)</f>
        <v>0.21640091116173121</v>
      </c>
      <c r="D101" s="959">
        <f>D99/SUM(B99:E99)</f>
        <v>0.39863325740318906</v>
      </c>
      <c r="E101" s="959">
        <f>E99/SUM(B99:E99)</f>
        <v>0.1366742596810934</v>
      </c>
      <c r="F101" s="857"/>
      <c r="G101" s="857"/>
      <c r="H101" s="857"/>
      <c r="I101" s="858"/>
      <c r="J101" s="858">
        <f>SUM(B101:E101)</f>
        <v>0.99999999999999989</v>
      </c>
    </row>
    <row r="102" spans="1:10">
      <c r="A102" s="858" t="s">
        <v>1241</v>
      </c>
      <c r="B102" s="858" t="s">
        <v>1242</v>
      </c>
      <c r="C102" s="858"/>
      <c r="D102" s="876">
        <v>1000</v>
      </c>
      <c r="E102" s="858"/>
      <c r="F102" s="857"/>
      <c r="G102" s="857"/>
      <c r="H102" s="857"/>
      <c r="I102" s="858"/>
      <c r="J102" s="858"/>
    </row>
    <row r="103" spans="1:10">
      <c r="A103" s="858" t="s">
        <v>1243</v>
      </c>
      <c r="B103" s="858">
        <f>D102/4*B100</f>
        <v>248.29157175398635</v>
      </c>
      <c r="C103" s="858">
        <f>D102/4*C100</f>
        <v>216.40091116173122</v>
      </c>
      <c r="D103" s="858">
        <f>D102/4*D100</f>
        <v>398.63325740318908</v>
      </c>
      <c r="E103" s="858">
        <f>D102/4*E100</f>
        <v>136.67425968109339</v>
      </c>
      <c r="F103" s="857"/>
      <c r="G103" s="857"/>
      <c r="H103" s="857"/>
      <c r="I103" s="858"/>
      <c r="J103" s="858">
        <f>SUM(B103:E103)</f>
        <v>1000</v>
      </c>
    </row>
    <row r="104" spans="1:10">
      <c r="A104" s="858" t="s">
        <v>1244</v>
      </c>
      <c r="B104" s="858">
        <f>B101*D102</f>
        <v>248.29157175398635</v>
      </c>
      <c r="C104" s="858">
        <f>C101*D102</f>
        <v>216.40091116173122</v>
      </c>
      <c r="D104" s="858">
        <f>D101*D102</f>
        <v>398.63325740318908</v>
      </c>
      <c r="E104" s="858">
        <f>E101*D102</f>
        <v>136.67425968109339</v>
      </c>
      <c r="F104" s="857"/>
      <c r="G104" s="857"/>
      <c r="H104" s="857"/>
      <c r="I104" s="858"/>
      <c r="J104" s="858">
        <f>SUM(B104:E104)</f>
        <v>1000</v>
      </c>
    </row>
    <row r="105" spans="1:10">
      <c r="A105" s="858" t="s">
        <v>1245</v>
      </c>
      <c r="B105" s="858"/>
      <c r="C105" s="858">
        <f>MIN(B101:E101)</f>
        <v>0.1366742596810934</v>
      </c>
      <c r="D105" s="858"/>
      <c r="E105" s="858" t="s">
        <v>1246</v>
      </c>
      <c r="F105" s="857"/>
      <c r="G105" s="857"/>
      <c r="H105" s="857"/>
      <c r="I105" s="858"/>
      <c r="J105" s="858">
        <f>MAX(B101:E101)</f>
        <v>0.39863325740318906</v>
      </c>
    </row>
    <row r="106" spans="1:10">
      <c r="A106" s="858" t="s">
        <v>1247</v>
      </c>
      <c r="B106" s="858"/>
      <c r="C106" s="858"/>
      <c r="D106" s="858"/>
      <c r="E106" s="858"/>
      <c r="F106" s="857"/>
      <c r="G106" s="857"/>
      <c r="H106" s="857"/>
      <c r="I106" s="858"/>
      <c r="J106" s="858"/>
    </row>
    <row r="107" spans="1:10">
      <c r="A107" s="858" t="s">
        <v>1248</v>
      </c>
      <c r="B107" s="858"/>
      <c r="C107" s="858"/>
      <c r="D107" s="858"/>
      <c r="E107" s="858"/>
      <c r="F107" s="857"/>
      <c r="G107" s="857"/>
      <c r="H107" s="857"/>
      <c r="I107" s="858"/>
      <c r="J107" s="858"/>
    </row>
    <row r="108" spans="1:10">
      <c r="A108" s="960" t="str">
        <f>"Pour un CA prévisionnel de "&amp;D102&amp;" KF le "&amp;B93&amp;" contribuera pour "&amp;B103&amp;" des ventes soit "&amp;B101&amp;" KF:"</f>
        <v>Pour un CA prévisionnel de 1000 KF le Trimestre 1 contribuera pour 248.291571753986 des ventes soit 0.248291571753986 KF:</v>
      </c>
      <c r="B108" s="858"/>
      <c r="C108" s="858"/>
      <c r="D108" s="858"/>
      <c r="E108" s="858"/>
      <c r="F108" s="857"/>
      <c r="G108" s="857"/>
      <c r="H108" s="857"/>
      <c r="I108" s="858"/>
      <c r="J108" s="858"/>
    </row>
    <row r="109" spans="1:10">
      <c r="A109" s="960" t="str">
        <f>"Pour un CA  prévisionnel de "&amp;D102&amp;" KF le "&amp;C93&amp;" contribuera pour "&amp;C103&amp;" des ventes soit "&amp;C101&amp;" KF:"</f>
        <v>Pour un CA  prévisionnel de 1000 KF le Trimestre 2 contribuera pour 216.400911161731 des ventes soit 0.216400911161731 KF:</v>
      </c>
      <c r="B109" s="857"/>
      <c r="C109" s="857"/>
      <c r="D109" s="857"/>
      <c r="E109" s="857"/>
      <c r="F109" s="857"/>
      <c r="G109" s="857"/>
      <c r="H109" s="857"/>
      <c r="I109" s="857"/>
      <c r="J109" s="857"/>
    </row>
    <row r="110" spans="1:10">
      <c r="A110" s="960" t="str">
        <f>"Pour un CA prévisionnel de "&amp;D102&amp;" KF le "&amp;D93&amp;" contribuera pour "&amp;D103&amp;" des ventes soit "&amp;D101&amp;" KF:"</f>
        <v>Pour un CA prévisionnel de 1000 KF le Trimestre 3 contribuera pour 398.633257403189 des ventes soit 0.398633257403189 KF:</v>
      </c>
      <c r="B110" s="857"/>
      <c r="C110" s="857"/>
      <c r="D110" s="857"/>
      <c r="E110" s="857"/>
      <c r="F110" s="857"/>
      <c r="G110" s="857"/>
      <c r="H110" s="857"/>
      <c r="I110" s="857"/>
      <c r="J110" s="857"/>
    </row>
    <row r="111" spans="1:10">
      <c r="A111" s="960" t="str">
        <f>"Pour un CA prévisionnel de "&amp;D103&amp;" KF le "&amp;E93&amp;" contribuera pour "&amp;E103&amp;" des ventes soit "&amp;E101&amp;" KF:"</f>
        <v>Pour un CA prévisionnel de 398.633257403189 KF le Trimestre 4 contribuera pour 136.674259681093 des ventes soit 0.136674259681093 KF:</v>
      </c>
      <c r="B111" s="857"/>
      <c r="C111" s="857"/>
      <c r="D111" s="857"/>
      <c r="E111" s="857"/>
      <c r="F111" s="857"/>
      <c r="G111" s="857"/>
      <c r="H111" s="857"/>
      <c r="I111" s="857"/>
      <c r="J111" s="857"/>
    </row>
    <row r="113" spans="1:10">
      <c r="A113" s="965" t="s">
        <v>1367</v>
      </c>
    </row>
    <row r="114" spans="1:10">
      <c r="A114" s="964"/>
    </row>
    <row r="115" spans="1:10">
      <c r="A115" s="1676" t="s">
        <v>1249</v>
      </c>
      <c r="B115" s="1677"/>
      <c r="C115" s="1677"/>
      <c r="D115" s="1677"/>
      <c r="E115" s="1677"/>
      <c r="F115" s="1677"/>
      <c r="G115" s="1677"/>
      <c r="H115" s="861"/>
      <c r="I115" s="861"/>
      <c r="J115" s="861"/>
    </row>
    <row r="116" spans="1:10">
      <c r="A116" s="860" t="s">
        <v>1250</v>
      </c>
      <c r="B116" s="860"/>
      <c r="C116" s="860"/>
      <c r="D116" s="860"/>
      <c r="E116" s="860"/>
      <c r="F116" s="860"/>
      <c r="G116" s="861"/>
      <c r="H116" s="861"/>
      <c r="I116" s="861"/>
      <c r="J116" s="860"/>
    </row>
    <row r="117" spans="1:10">
      <c r="A117" s="860" t="s">
        <v>1206</v>
      </c>
      <c r="B117" s="860" t="s">
        <v>1251</v>
      </c>
      <c r="C117" s="860" t="s">
        <v>1252</v>
      </c>
      <c r="D117" s="860" t="s">
        <v>1253</v>
      </c>
      <c r="E117" s="860" t="s">
        <v>1254</v>
      </c>
      <c r="F117" s="860" t="s">
        <v>1255</v>
      </c>
      <c r="G117" s="861"/>
      <c r="H117" s="861"/>
      <c r="I117" s="861"/>
      <c r="J117" s="860" t="s">
        <v>1256</v>
      </c>
    </row>
    <row r="118" spans="1:10">
      <c r="A118" s="862">
        <v>1</v>
      </c>
      <c r="B118" s="863">
        <v>120</v>
      </c>
      <c r="C118" s="860">
        <f>A118</f>
        <v>1</v>
      </c>
      <c r="D118" s="860">
        <f t="shared" ref="C118:D122" si="5">B118</f>
        <v>120</v>
      </c>
      <c r="E118" s="860">
        <f t="shared" ref="E118:F122" si="6">C118^2</f>
        <v>1</v>
      </c>
      <c r="F118" s="860">
        <f>D118^2</f>
        <v>14400</v>
      </c>
      <c r="G118" s="861"/>
      <c r="H118" s="861"/>
      <c r="I118" s="861"/>
      <c r="J118" s="860">
        <f>PRODUCT(C118:D118)</f>
        <v>120</v>
      </c>
    </row>
    <row r="119" spans="1:10">
      <c r="A119" s="862">
        <v>2</v>
      </c>
      <c r="B119" s="863">
        <v>150</v>
      </c>
      <c r="C119" s="860">
        <f t="shared" si="5"/>
        <v>2</v>
      </c>
      <c r="D119" s="860">
        <f t="shared" si="5"/>
        <v>150</v>
      </c>
      <c r="E119" s="860">
        <f t="shared" si="6"/>
        <v>4</v>
      </c>
      <c r="F119" s="860">
        <f t="shared" si="6"/>
        <v>22500</v>
      </c>
      <c r="G119" s="861"/>
      <c r="H119" s="861"/>
      <c r="I119" s="861"/>
      <c r="J119" s="860">
        <f>PRODUCT(C119:D119)</f>
        <v>300</v>
      </c>
    </row>
    <row r="120" spans="1:10">
      <c r="A120" s="862">
        <v>3</v>
      </c>
      <c r="B120" s="863">
        <v>250</v>
      </c>
      <c r="C120" s="860">
        <f t="shared" si="5"/>
        <v>3</v>
      </c>
      <c r="D120" s="860">
        <f t="shared" si="5"/>
        <v>250</v>
      </c>
      <c r="E120" s="860">
        <f t="shared" si="6"/>
        <v>9</v>
      </c>
      <c r="F120" s="860">
        <f t="shared" si="6"/>
        <v>62500</v>
      </c>
      <c r="G120" s="861"/>
      <c r="H120" s="861"/>
      <c r="I120" s="861"/>
      <c r="J120" s="860">
        <f>PRODUCT(C120:D120)</f>
        <v>750</v>
      </c>
    </row>
    <row r="121" spans="1:10">
      <c r="A121" s="862">
        <v>4</v>
      </c>
      <c r="B121" s="863">
        <v>300</v>
      </c>
      <c r="C121" s="860">
        <f t="shared" si="5"/>
        <v>4</v>
      </c>
      <c r="D121" s="860">
        <f t="shared" si="5"/>
        <v>300</v>
      </c>
      <c r="E121" s="860">
        <f t="shared" si="6"/>
        <v>16</v>
      </c>
      <c r="F121" s="860">
        <f t="shared" si="6"/>
        <v>90000</v>
      </c>
      <c r="G121" s="861"/>
      <c r="H121" s="861"/>
      <c r="I121" s="861"/>
      <c r="J121" s="860">
        <f>PRODUCT(C121:D121)</f>
        <v>1200</v>
      </c>
    </row>
    <row r="122" spans="1:10">
      <c r="A122" s="862">
        <v>5</v>
      </c>
      <c r="B122" s="863">
        <v>400</v>
      </c>
      <c r="C122" s="860">
        <f t="shared" si="5"/>
        <v>5</v>
      </c>
      <c r="D122" s="860">
        <f t="shared" si="5"/>
        <v>400</v>
      </c>
      <c r="E122" s="860">
        <f t="shared" si="6"/>
        <v>25</v>
      </c>
      <c r="F122" s="860">
        <f t="shared" si="6"/>
        <v>160000</v>
      </c>
      <c r="G122" s="861"/>
      <c r="H122" s="861"/>
      <c r="I122" s="861"/>
      <c r="J122" s="860">
        <f>PRODUCT(C122:D122)</f>
        <v>2000</v>
      </c>
    </row>
    <row r="123" spans="1:10">
      <c r="A123" s="860"/>
      <c r="B123" s="860"/>
      <c r="C123" s="860">
        <f>SUM(C118:C122)</f>
        <v>15</v>
      </c>
      <c r="D123" s="860">
        <f>SUM(D118:D122)</f>
        <v>1220</v>
      </c>
      <c r="E123" s="860">
        <f>SUM(E118:E122)</f>
        <v>55</v>
      </c>
      <c r="F123" s="860">
        <f>SUM(F118:F122)</f>
        <v>349400</v>
      </c>
      <c r="G123" s="861"/>
      <c r="H123" s="861"/>
      <c r="I123" s="861"/>
      <c r="J123" s="860">
        <f>SUM(J118:J122)</f>
        <v>4370</v>
      </c>
    </row>
    <row r="124" spans="1:10">
      <c r="A124" s="860"/>
      <c r="B124" s="860"/>
      <c r="C124" s="860"/>
      <c r="D124" s="860"/>
      <c r="E124" s="860"/>
      <c r="F124" s="860"/>
      <c r="G124" s="861"/>
      <c r="H124" s="861"/>
      <c r="I124" s="861"/>
      <c r="J124" s="860"/>
    </row>
    <row r="125" spans="1:10">
      <c r="A125" s="864" t="s">
        <v>1257</v>
      </c>
      <c r="B125" s="865">
        <v>10</v>
      </c>
      <c r="C125" s="866" t="str">
        <f>" le CA  probable pour l'année "&amp;J124&amp;" avoisinera les "&amp;J132&amp;" KF:"</f>
        <v xml:space="preserve"> le CA  probable pour l'année  avoisinera les 741 KF:</v>
      </c>
      <c r="D125" s="864"/>
      <c r="E125" s="860"/>
      <c r="F125" s="860"/>
      <c r="G125" s="861"/>
      <c r="H125" s="861"/>
      <c r="I125" s="861"/>
      <c r="J125" s="860"/>
    </row>
    <row r="126" spans="1:10">
      <c r="A126" s="860"/>
      <c r="B126" s="860"/>
      <c r="C126" s="860"/>
      <c r="D126" s="860"/>
      <c r="E126" s="860"/>
      <c r="F126" s="860"/>
      <c r="G126" s="861"/>
      <c r="H126" s="861"/>
      <c r="I126" s="861"/>
      <c r="J126" s="860"/>
    </row>
    <row r="127" spans="1:10">
      <c r="A127" s="864" t="s">
        <v>1258</v>
      </c>
      <c r="B127" s="860"/>
      <c r="C127" s="860"/>
      <c r="D127" s="864">
        <f>C123</f>
        <v>15</v>
      </c>
      <c r="E127" s="864"/>
      <c r="F127" s="864">
        <f>A122</f>
        <v>5</v>
      </c>
      <c r="G127" s="861"/>
      <c r="H127" s="861"/>
      <c r="I127" s="861"/>
      <c r="J127" s="864">
        <f>D127/F127</f>
        <v>3</v>
      </c>
    </row>
    <row r="128" spans="1:10">
      <c r="A128" s="864" t="s">
        <v>1259</v>
      </c>
      <c r="B128" s="860"/>
      <c r="C128" s="860"/>
      <c r="D128" s="864">
        <f>D123</f>
        <v>1220</v>
      </c>
      <c r="E128" s="864"/>
      <c r="F128" s="864">
        <f>A122</f>
        <v>5</v>
      </c>
      <c r="G128" s="861"/>
      <c r="H128" s="861"/>
      <c r="I128" s="861"/>
      <c r="J128" s="864">
        <f>D128/F128</f>
        <v>244</v>
      </c>
    </row>
    <row r="129" spans="1:10">
      <c r="A129" s="864" t="s">
        <v>1260</v>
      </c>
      <c r="B129" s="860"/>
      <c r="C129" s="860"/>
      <c r="D129" s="864">
        <f>J123-(F127*J127*J128)</f>
        <v>710</v>
      </c>
      <c r="E129" s="864"/>
      <c r="F129" s="864">
        <f>E123-(F127*J127^2)</f>
        <v>10</v>
      </c>
      <c r="G129" s="861"/>
      <c r="H129" s="861"/>
      <c r="I129" s="861"/>
      <c r="J129" s="864">
        <f>D129/F129</f>
        <v>71</v>
      </c>
    </row>
    <row r="130" spans="1:10">
      <c r="A130" s="864" t="s">
        <v>1261</v>
      </c>
      <c r="B130" s="860"/>
      <c r="C130" s="860"/>
      <c r="D130" s="864">
        <f>J128</f>
        <v>244</v>
      </c>
      <c r="E130" s="864"/>
      <c r="F130" s="864">
        <f>J129*J127</f>
        <v>213</v>
      </c>
      <c r="G130" s="861"/>
      <c r="H130" s="861"/>
      <c r="I130" s="861"/>
      <c r="J130" s="864">
        <f>D130-F130</f>
        <v>31</v>
      </c>
    </row>
    <row r="131" spans="1:10">
      <c r="A131" s="864" t="s">
        <v>1262</v>
      </c>
      <c r="B131" s="860"/>
      <c r="C131" s="860"/>
      <c r="D131" s="864">
        <f>J129</f>
        <v>71</v>
      </c>
      <c r="E131" s="864" t="s">
        <v>1263</v>
      </c>
      <c r="F131" s="864" t="s">
        <v>1264</v>
      </c>
      <c r="G131" s="861"/>
      <c r="H131" s="861"/>
      <c r="I131" s="861"/>
      <c r="J131" s="864">
        <f>J130</f>
        <v>31</v>
      </c>
    </row>
    <row r="132" spans="1:10">
      <c r="A132" s="864" t="s">
        <v>1265</v>
      </c>
      <c r="B132" s="860"/>
      <c r="C132" s="860"/>
      <c r="D132" s="864">
        <f>D131</f>
        <v>71</v>
      </c>
      <c r="E132" s="864">
        <f>B125</f>
        <v>10</v>
      </c>
      <c r="F132" s="864">
        <f>J131</f>
        <v>31</v>
      </c>
      <c r="G132" s="861"/>
      <c r="H132" s="861"/>
      <c r="I132" s="861"/>
      <c r="J132" s="867">
        <f>D132*E132+F132</f>
        <v>741</v>
      </c>
    </row>
    <row r="133" spans="1:10">
      <c r="A133" s="866" t="str">
        <f>" le chiffre d'affaires probable pour l'année "&amp;E132&amp;" avoisinera les "&amp;J132&amp;" KF:"</f>
        <v xml:space="preserve"> le chiffre d'affaires probable pour l'année 10 avoisinera les 741 KF:</v>
      </c>
      <c r="B133" s="860"/>
      <c r="C133" s="860"/>
      <c r="D133" s="860"/>
      <c r="E133" s="860"/>
      <c r="F133" s="860"/>
      <c r="G133" s="861"/>
      <c r="H133" s="861"/>
      <c r="I133" s="861"/>
      <c r="J133" s="860"/>
    </row>
    <row r="134" spans="1:10">
      <c r="A134" s="860"/>
      <c r="B134" s="860"/>
      <c r="C134" s="860"/>
      <c r="D134" s="860"/>
      <c r="E134" s="860"/>
      <c r="F134" s="860"/>
      <c r="G134" s="861"/>
      <c r="H134" s="861"/>
      <c r="I134" s="861"/>
      <c r="J134" s="860"/>
    </row>
    <row r="135" spans="1:10">
      <c r="A135" s="868" t="s">
        <v>1368</v>
      </c>
      <c r="B135" s="869"/>
      <c r="C135" s="869"/>
      <c r="D135" s="869"/>
      <c r="E135" s="869"/>
      <c r="F135" s="869"/>
      <c r="G135" s="861"/>
      <c r="H135" s="861"/>
      <c r="I135" s="861"/>
      <c r="J135" s="869"/>
    </row>
    <row r="136" spans="1:10">
      <c r="A136" s="860"/>
      <c r="B136" s="869"/>
      <c r="C136" s="869"/>
      <c r="D136" s="869"/>
      <c r="E136" s="869"/>
      <c r="F136" s="869"/>
      <c r="G136" s="861"/>
      <c r="H136" s="861"/>
      <c r="I136" s="861"/>
      <c r="J136" s="869"/>
    </row>
    <row r="137" spans="1:10">
      <c r="A137" s="869" t="s">
        <v>1233</v>
      </c>
      <c r="B137" s="869">
        <v>1</v>
      </c>
      <c r="C137" s="869">
        <v>2</v>
      </c>
      <c r="D137" s="869">
        <v>3</v>
      </c>
      <c r="E137" s="869">
        <v>4</v>
      </c>
      <c r="F137" s="869">
        <v>5</v>
      </c>
      <c r="G137" s="861"/>
      <c r="H137" s="861"/>
      <c r="I137" s="861"/>
      <c r="J137" s="869" t="s">
        <v>15</v>
      </c>
    </row>
    <row r="138" spans="1:10">
      <c r="A138" s="870" t="s">
        <v>1205</v>
      </c>
      <c r="B138" s="961">
        <v>120</v>
      </c>
      <c r="C138" s="961">
        <v>150</v>
      </c>
      <c r="D138" s="961">
        <v>250</v>
      </c>
      <c r="E138" s="961">
        <v>300</v>
      </c>
      <c r="F138" s="961">
        <v>400</v>
      </c>
      <c r="G138" s="861"/>
      <c r="H138" s="861"/>
      <c r="I138" s="861"/>
      <c r="J138" s="870">
        <f>SUM(B138:F138)</f>
        <v>1220</v>
      </c>
    </row>
    <row r="139" spans="1:10">
      <c r="A139" s="870" t="s">
        <v>1266</v>
      </c>
      <c r="B139" s="870"/>
      <c r="C139" s="870"/>
      <c r="D139" s="961">
        <v>10</v>
      </c>
      <c r="E139" s="870" t="str">
        <f>" le CA pour l'an "&amp;D139&amp;" avoisinera les "&amp;J139&amp;" KF:"</f>
        <v xml:space="preserve"> le CA pour l'an 10 avoisinera les 738.666666666667 KF:</v>
      </c>
      <c r="F139" s="870"/>
      <c r="G139" s="870"/>
      <c r="H139" s="861"/>
      <c r="I139" s="861"/>
      <c r="J139" s="870">
        <f>J145</f>
        <v>738.66666666666652</v>
      </c>
    </row>
    <row r="140" spans="1:10">
      <c r="A140" s="1678" t="s">
        <v>1267</v>
      </c>
      <c r="B140" s="1678"/>
      <c r="C140" s="1678"/>
      <c r="D140" s="1678"/>
      <c r="E140" s="1678"/>
      <c r="F140" s="860"/>
      <c r="G140" s="861"/>
      <c r="H140" s="861"/>
      <c r="I140" s="861"/>
      <c r="J140" s="860"/>
    </row>
    <row r="141" spans="1:10">
      <c r="A141" s="869" t="s">
        <v>1268</v>
      </c>
      <c r="B141" s="869">
        <v>1</v>
      </c>
      <c r="C141" s="869">
        <v>1</v>
      </c>
      <c r="D141" s="869">
        <v>1</v>
      </c>
      <c r="E141" s="869">
        <v>1</v>
      </c>
      <c r="F141" s="869">
        <v>1</v>
      </c>
      <c r="G141" s="861"/>
      <c r="H141" s="861"/>
      <c r="I141" s="861"/>
      <c r="J141" s="869">
        <f>SUM(B141:F141)</f>
        <v>5</v>
      </c>
    </row>
    <row r="142" spans="1:10">
      <c r="A142" s="869" t="s">
        <v>1269</v>
      </c>
      <c r="B142" s="869">
        <f>SUM(B137:D137)/SUM(B141:D141)</f>
        <v>2</v>
      </c>
      <c r="C142" s="869"/>
      <c r="D142" s="869"/>
      <c r="E142" s="869">
        <f>SUM(E137:F137)/SUM(E141:F141)</f>
        <v>4.5</v>
      </c>
      <c r="F142" s="869"/>
      <c r="G142" s="861"/>
      <c r="H142" s="861"/>
      <c r="I142" s="861"/>
      <c r="J142" s="869"/>
    </row>
    <row r="143" spans="1:10">
      <c r="A143" s="869" t="s">
        <v>1269</v>
      </c>
      <c r="B143" s="869">
        <f>SUM(B138:D138)/SUM(B141:D141)</f>
        <v>173.33333333333334</v>
      </c>
      <c r="C143" s="869"/>
      <c r="D143" s="869"/>
      <c r="E143" s="869">
        <f>SUM(E138:F138)/SUM(E141:F141)</f>
        <v>350</v>
      </c>
      <c r="F143" s="869"/>
      <c r="G143" s="861"/>
      <c r="H143" s="861"/>
      <c r="I143" s="861"/>
      <c r="J143" s="869"/>
    </row>
    <row r="144" spans="1:10">
      <c r="A144" s="869" t="s">
        <v>1270</v>
      </c>
      <c r="B144" s="869">
        <f>(E143-B143)/(E142-B142)</f>
        <v>70.666666666666657</v>
      </c>
      <c r="C144" s="869"/>
      <c r="D144" s="869" t="s">
        <v>1271</v>
      </c>
      <c r="E144" s="869">
        <f>B143- B144*C137</f>
        <v>32.000000000000028</v>
      </c>
      <c r="F144" s="869"/>
      <c r="G144" s="861"/>
      <c r="H144" s="861"/>
      <c r="I144" s="861"/>
      <c r="J144" s="869"/>
    </row>
    <row r="145" spans="1:10">
      <c r="A145" s="869" t="s">
        <v>1241</v>
      </c>
      <c r="B145" s="869" t="s">
        <v>1272</v>
      </c>
      <c r="C145" s="869"/>
      <c r="D145" s="869">
        <f>D139</f>
        <v>10</v>
      </c>
      <c r="E145" s="869"/>
      <c r="F145" s="869" t="s">
        <v>1273</v>
      </c>
      <c r="G145" s="861"/>
      <c r="H145" s="861"/>
      <c r="I145" s="861"/>
      <c r="J145" s="871">
        <f>B144*D145+E144</f>
        <v>738.66666666666652</v>
      </c>
    </row>
    <row r="146" spans="1:10">
      <c r="A146" s="866" t="str">
        <f>" le chiffre d'affaires probable pour l'année "&amp;D145&amp;" avoisinera les "&amp;J145&amp;" KF:"</f>
        <v xml:space="preserve"> le chiffre d'affaires probable pour l'année 10 avoisinera les 738.666666666667 KF:</v>
      </c>
      <c r="B146" s="869"/>
      <c r="C146" s="869"/>
      <c r="D146" s="869"/>
      <c r="E146" s="869"/>
      <c r="F146" s="869"/>
      <c r="G146" s="872"/>
      <c r="H146" s="861"/>
      <c r="I146" s="861"/>
      <c r="J146" s="861"/>
    </row>
    <row r="147" spans="1:10">
      <c r="A147" s="866" t="s">
        <v>1369</v>
      </c>
      <c r="B147" s="869"/>
      <c r="C147" s="869"/>
      <c r="D147" s="869"/>
      <c r="E147" s="869"/>
      <c r="F147" s="869"/>
      <c r="G147" s="872"/>
      <c r="H147" s="970" t="s">
        <v>1370</v>
      </c>
      <c r="I147" s="861"/>
      <c r="J147" s="971">
        <f>J132-J145</f>
        <v>2.3333333333334849</v>
      </c>
    </row>
    <row r="149" spans="1:10">
      <c r="A149" s="972" t="s">
        <v>1371</v>
      </c>
    </row>
    <row r="150" spans="1:10">
      <c r="A150" s="972"/>
    </row>
    <row r="151" spans="1:10">
      <c r="A151" s="873" t="s">
        <v>1274</v>
      </c>
      <c r="B151" s="874"/>
      <c r="C151" s="874"/>
      <c r="D151" s="874"/>
      <c r="E151" s="874"/>
      <c r="F151" s="874"/>
      <c r="G151" s="874"/>
      <c r="H151" s="874"/>
      <c r="I151" s="874"/>
      <c r="J151" s="874"/>
    </row>
    <row r="152" spans="1:10">
      <c r="A152" s="874"/>
      <c r="B152" s="874"/>
      <c r="C152" s="874"/>
      <c r="D152" s="874"/>
      <c r="E152" s="874"/>
      <c r="F152" s="874"/>
      <c r="G152" s="874"/>
      <c r="H152" s="874"/>
      <c r="I152" s="874" t="s">
        <v>26</v>
      </c>
      <c r="J152" s="874" t="s">
        <v>26</v>
      </c>
    </row>
    <row r="153" spans="1:10">
      <c r="A153" s="874" t="s">
        <v>1275</v>
      </c>
      <c r="B153" s="874"/>
      <c r="C153" s="874"/>
      <c r="D153" s="874"/>
      <c r="E153" s="874"/>
      <c r="F153" s="874"/>
      <c r="G153" s="874"/>
      <c r="H153" s="874"/>
      <c r="I153" s="875"/>
      <c r="J153" s="876">
        <v>500000</v>
      </c>
    </row>
    <row r="154" spans="1:10">
      <c r="A154" s="874" t="s">
        <v>1276</v>
      </c>
      <c r="B154" s="874"/>
      <c r="C154" s="874"/>
      <c r="D154" s="874"/>
      <c r="E154" s="874"/>
      <c r="F154" s="874"/>
      <c r="G154" s="874"/>
      <c r="H154" s="874"/>
      <c r="I154" s="876">
        <v>220000</v>
      </c>
      <c r="J154" s="875"/>
    </row>
    <row r="155" spans="1:10">
      <c r="A155" s="874" t="s">
        <v>1277</v>
      </c>
      <c r="B155" s="874"/>
      <c r="C155" s="874"/>
      <c r="D155" s="874"/>
      <c r="E155" s="874"/>
      <c r="F155" s="874"/>
      <c r="G155" s="874"/>
      <c r="H155" s="874"/>
      <c r="I155" s="876">
        <v>120000</v>
      </c>
      <c r="J155" s="875"/>
    </row>
    <row r="156" spans="1:10">
      <c r="A156" s="874" t="s">
        <v>1278</v>
      </c>
      <c r="B156" s="874"/>
      <c r="C156" s="874"/>
      <c r="D156" s="874"/>
      <c r="E156" s="874"/>
      <c r="F156" s="874"/>
      <c r="G156" s="874"/>
      <c r="H156" s="874"/>
      <c r="I156" s="876">
        <v>100000</v>
      </c>
      <c r="J156" s="875"/>
    </row>
    <row r="157" spans="1:10">
      <c r="A157" s="874" t="s">
        <v>1279</v>
      </c>
      <c r="B157" s="874"/>
      <c r="C157" s="874"/>
      <c r="D157" s="874"/>
      <c r="E157" s="874"/>
      <c r="F157" s="874"/>
      <c r="G157" s="874"/>
      <c r="H157" s="874"/>
      <c r="I157" s="875"/>
      <c r="J157" s="875">
        <f>J153-SUM(I154:I156)</f>
        <v>60000</v>
      </c>
    </row>
    <row r="158" spans="1:10">
      <c r="A158" s="877" t="str">
        <f>"Pour des achats de  "&amp;I154&amp;" le résultat est de "&amp;J157&amp;" :"</f>
        <v>Pour des achats de  220000 le résultat est de 60000 :</v>
      </c>
      <c r="B158" s="874"/>
      <c r="C158" s="874"/>
      <c r="D158" s="874"/>
      <c r="E158" s="874"/>
      <c r="F158" s="874"/>
      <c r="G158" s="874"/>
      <c r="H158" s="874"/>
      <c r="I158" s="874"/>
      <c r="J158" s="874"/>
    </row>
    <row r="159" spans="1:10">
      <c r="A159" s="874"/>
      <c r="B159" s="874"/>
      <c r="C159" s="874"/>
      <c r="D159" s="874"/>
      <c r="E159" s="874"/>
      <c r="F159" s="874"/>
      <c r="G159" s="874"/>
      <c r="H159" s="874"/>
      <c r="I159" s="874"/>
      <c r="J159" s="874"/>
    </row>
    <row r="160" spans="1:10">
      <c r="A160" s="874" t="s">
        <v>1280</v>
      </c>
      <c r="B160" s="874"/>
      <c r="C160" s="874"/>
      <c r="D160" s="878">
        <v>0.02</v>
      </c>
      <c r="E160" s="874">
        <f>I154*(1-D160)</f>
        <v>215600</v>
      </c>
      <c r="F160" s="874"/>
      <c r="G160" s="874"/>
      <c r="H160" s="874"/>
      <c r="I160" s="874" t="s">
        <v>1279</v>
      </c>
      <c r="J160" s="875">
        <f>J153-(I155+I156+E160)</f>
        <v>64400</v>
      </c>
    </row>
    <row r="161" spans="1:12">
      <c r="A161" s="877" t="str">
        <f>"Pour des meilleurs achats de  "&amp;D160&amp;" le résultat est de "&amp;J160&amp;" :"</f>
        <v>Pour des meilleurs achats de  0.02 le résultat est de 64400 :</v>
      </c>
      <c r="B161" s="874"/>
      <c r="C161" s="874"/>
      <c r="D161" s="874"/>
      <c r="E161" s="874"/>
      <c r="F161" s="874"/>
      <c r="G161" s="874"/>
      <c r="H161" s="874"/>
      <c r="I161" s="874"/>
      <c r="J161" s="874"/>
    </row>
    <row r="163" spans="1:12">
      <c r="A163" s="972" t="s">
        <v>1372</v>
      </c>
    </row>
    <row r="165" spans="1:12">
      <c r="A165" s="988" t="s">
        <v>1281</v>
      </c>
      <c r="B165" s="988" t="s">
        <v>1282</v>
      </c>
      <c r="C165" s="988" t="s">
        <v>1283</v>
      </c>
      <c r="D165" s="988" t="s">
        <v>1284</v>
      </c>
      <c r="E165" s="988" t="s">
        <v>1069</v>
      </c>
      <c r="F165" s="988" t="s">
        <v>1285</v>
      </c>
      <c r="G165" s="988" t="s">
        <v>1286</v>
      </c>
      <c r="H165" s="988" t="s">
        <v>1287</v>
      </c>
      <c r="I165" s="988" t="s">
        <v>1288</v>
      </c>
      <c r="J165" s="988" t="s">
        <v>1289</v>
      </c>
      <c r="K165" s="988"/>
      <c r="L165" s="988" t="s">
        <v>1290</v>
      </c>
    </row>
    <row r="166" spans="1:12">
      <c r="A166" s="988"/>
      <c r="B166" s="988"/>
      <c r="C166" s="988"/>
      <c r="D166" s="988" t="s">
        <v>1291</v>
      </c>
      <c r="E166" s="988"/>
      <c r="F166" s="988" t="s">
        <v>1292</v>
      </c>
      <c r="G166" s="988" t="s">
        <v>1293</v>
      </c>
      <c r="H166" s="988"/>
      <c r="I166" s="988" t="s">
        <v>1294</v>
      </c>
      <c r="J166" s="988"/>
      <c r="K166" s="988"/>
      <c r="L166" s="988"/>
    </row>
    <row r="167" spans="1:12">
      <c r="A167" s="519" t="s">
        <v>1295</v>
      </c>
      <c r="B167" s="519">
        <v>25</v>
      </c>
      <c r="C167" s="519">
        <v>8</v>
      </c>
      <c r="D167" s="519">
        <v>3</v>
      </c>
      <c r="E167" s="988">
        <f>B167*C167*D167</f>
        <v>600</v>
      </c>
      <c r="F167" s="878">
        <v>0.5</v>
      </c>
      <c r="G167" s="519">
        <v>120</v>
      </c>
      <c r="H167" s="988">
        <f>G167*D167</f>
        <v>360</v>
      </c>
      <c r="I167" s="519">
        <v>100</v>
      </c>
      <c r="J167" s="519">
        <v>0.32</v>
      </c>
      <c r="K167" s="988">
        <f>D167*I167*J167</f>
        <v>96</v>
      </c>
      <c r="L167" s="519">
        <v>225</v>
      </c>
    </row>
    <row r="168" spans="1:12">
      <c r="A168" s="519" t="s">
        <v>1296</v>
      </c>
      <c r="B168" s="519">
        <v>40</v>
      </c>
      <c r="C168" s="519">
        <v>8</v>
      </c>
      <c r="D168" s="519">
        <v>3</v>
      </c>
      <c r="E168" s="988">
        <f t="shared" ref="E168:E169" si="7">B168*C168*D168</f>
        <v>960</v>
      </c>
      <c r="F168" s="878">
        <v>0.5</v>
      </c>
      <c r="G168" s="519">
        <v>120</v>
      </c>
      <c r="H168" s="988">
        <f t="shared" ref="H168:H169" si="8">G168*D168</f>
        <v>360</v>
      </c>
      <c r="I168" s="519">
        <v>100</v>
      </c>
      <c r="J168" s="519">
        <v>0.32</v>
      </c>
      <c r="K168" s="988">
        <f t="shared" ref="K168:K169" si="9">D168*I168*J168</f>
        <v>96</v>
      </c>
      <c r="L168" s="519">
        <v>225</v>
      </c>
    </row>
    <row r="169" spans="1:12">
      <c r="A169" s="519" t="s">
        <v>1297</v>
      </c>
      <c r="B169" s="519">
        <v>13</v>
      </c>
      <c r="C169" s="519">
        <v>8</v>
      </c>
      <c r="D169" s="519">
        <v>3</v>
      </c>
      <c r="E169" s="988">
        <f t="shared" si="7"/>
        <v>312</v>
      </c>
      <c r="F169" s="878">
        <v>0.5</v>
      </c>
      <c r="G169" s="519">
        <v>120</v>
      </c>
      <c r="H169" s="988">
        <f t="shared" si="8"/>
        <v>360</v>
      </c>
      <c r="I169" s="519">
        <v>100</v>
      </c>
      <c r="J169" s="519">
        <v>0.32</v>
      </c>
      <c r="K169" s="988">
        <f t="shared" si="9"/>
        <v>96</v>
      </c>
      <c r="L169" s="519">
        <v>225</v>
      </c>
    </row>
    <row r="170" spans="1:12">
      <c r="A170" s="989" t="s">
        <v>43</v>
      </c>
      <c r="B170" s="989">
        <f>SUM(B167:B169)</f>
        <v>78</v>
      </c>
      <c r="C170" s="989">
        <f t="shared" ref="C170:E170" si="10">SUM(C167:C169)</f>
        <v>24</v>
      </c>
      <c r="D170" s="989">
        <f t="shared" si="10"/>
        <v>9</v>
      </c>
      <c r="E170" s="989">
        <f t="shared" si="10"/>
        <v>1872</v>
      </c>
      <c r="F170" s="989">
        <f>E170*F167</f>
        <v>936</v>
      </c>
      <c r="G170" s="989"/>
      <c r="H170" s="989">
        <f t="shared" ref="H170:L170" si="11">SUM(H167:H169)</f>
        <v>1080</v>
      </c>
      <c r="I170" s="989">
        <f t="shared" si="11"/>
        <v>300</v>
      </c>
      <c r="J170" s="989"/>
      <c r="K170" s="989">
        <f t="shared" si="11"/>
        <v>288</v>
      </c>
      <c r="L170" s="989">
        <f t="shared" si="11"/>
        <v>675</v>
      </c>
    </row>
    <row r="171" spans="1:12">
      <c r="A171" s="990"/>
      <c r="B171" s="990"/>
      <c r="C171" s="990"/>
      <c r="D171" s="990"/>
      <c r="E171" s="990"/>
      <c r="F171" s="990"/>
      <c r="G171" s="990"/>
      <c r="H171" s="990"/>
      <c r="I171" s="990"/>
      <c r="J171" s="990"/>
      <c r="K171" s="990"/>
      <c r="L171" s="990"/>
    </row>
    <row r="172" spans="1:12">
      <c r="A172" s="988" t="s">
        <v>1298</v>
      </c>
      <c r="B172" s="988"/>
      <c r="C172" s="988"/>
      <c r="D172" s="988">
        <f>E170</f>
        <v>1872</v>
      </c>
      <c r="E172" s="988"/>
      <c r="F172" s="988"/>
      <c r="G172" s="988"/>
      <c r="H172" s="988"/>
      <c r="I172" s="988"/>
      <c r="J172" s="988"/>
      <c r="K172" s="988"/>
      <c r="L172" s="988"/>
    </row>
    <row r="173" spans="1:12">
      <c r="A173" s="988" t="s">
        <v>1299</v>
      </c>
      <c r="B173" s="988"/>
      <c r="C173" s="988"/>
      <c r="D173" s="988">
        <f>F170</f>
        <v>936</v>
      </c>
      <c r="E173" s="988"/>
      <c r="F173" s="988"/>
      <c r="G173" s="988"/>
      <c r="H173" s="988"/>
      <c r="I173" s="988"/>
      <c r="J173" s="988"/>
      <c r="K173" s="988"/>
      <c r="L173" s="988"/>
    </row>
    <row r="174" spans="1:12">
      <c r="A174" s="988" t="s">
        <v>1376</v>
      </c>
      <c r="B174" s="988"/>
      <c r="C174" s="988"/>
      <c r="D174" s="988">
        <f>H170</f>
        <v>1080</v>
      </c>
      <c r="E174" s="988"/>
      <c r="F174" s="988"/>
      <c r="G174" s="988"/>
      <c r="H174" s="988"/>
      <c r="I174" s="988"/>
      <c r="J174" s="988"/>
      <c r="K174" s="988"/>
      <c r="L174" s="988"/>
    </row>
    <row r="175" spans="1:12">
      <c r="A175" s="988" t="s">
        <v>1300</v>
      </c>
      <c r="B175" s="988"/>
      <c r="C175" s="988"/>
      <c r="D175" s="988">
        <f>K170</f>
        <v>288</v>
      </c>
      <c r="E175" s="988"/>
      <c r="F175" s="988"/>
      <c r="G175" s="988"/>
      <c r="H175" s="988"/>
      <c r="I175" s="988"/>
      <c r="J175" s="988"/>
      <c r="K175" s="988"/>
      <c r="L175" s="988"/>
    </row>
    <row r="176" spans="1:12">
      <c r="A176" s="988" t="s">
        <v>1301</v>
      </c>
      <c r="B176" s="988"/>
      <c r="C176" s="988"/>
      <c r="D176" s="988">
        <f>L170</f>
        <v>675</v>
      </c>
      <c r="E176" s="988"/>
      <c r="F176" s="988" t="s">
        <v>1302</v>
      </c>
      <c r="G176" s="988"/>
      <c r="H176" s="988"/>
      <c r="I176" s="988"/>
      <c r="J176" s="988"/>
      <c r="K176" s="988"/>
      <c r="L176" s="988">
        <f>SUM(D172:D176)</f>
        <v>4851</v>
      </c>
    </row>
    <row r="177" spans="1:12">
      <c r="A177" s="988"/>
      <c r="B177" s="988"/>
      <c r="C177" s="988"/>
      <c r="D177" s="988"/>
      <c r="E177" s="988"/>
      <c r="F177" s="988"/>
      <c r="G177" s="988"/>
      <c r="H177" s="988"/>
      <c r="I177" s="988"/>
      <c r="J177" s="988"/>
      <c r="K177" s="988"/>
      <c r="L177" s="988"/>
    </row>
    <row r="178" spans="1:12">
      <c r="A178" s="988" t="s">
        <v>1303</v>
      </c>
      <c r="B178" s="988"/>
      <c r="C178" s="988"/>
      <c r="D178" s="879">
        <v>0.4</v>
      </c>
      <c r="E178" s="991" t="s">
        <v>1304</v>
      </c>
      <c r="F178" s="991"/>
      <c r="G178" s="991"/>
      <c r="H178" s="991"/>
      <c r="I178" s="991"/>
      <c r="J178" s="991"/>
      <c r="K178" s="991"/>
      <c r="L178" s="991">
        <f>L176/D178</f>
        <v>12127.5</v>
      </c>
    </row>
    <row r="180" spans="1:12">
      <c r="A180" s="972" t="s">
        <v>1374</v>
      </c>
    </row>
    <row r="182" spans="1:12">
      <c r="A182" s="1679" t="s">
        <v>1305</v>
      </c>
      <c r="B182" s="1679"/>
      <c r="C182" s="881">
        <v>39000</v>
      </c>
      <c r="D182" s="1679" t="s">
        <v>98</v>
      </c>
      <c r="E182" s="1679"/>
      <c r="F182" s="881">
        <v>50000</v>
      </c>
      <c r="G182" s="880" t="s">
        <v>1311</v>
      </c>
      <c r="H182" s="880"/>
      <c r="I182" s="880"/>
      <c r="J182" s="880">
        <f>F185</f>
        <v>7.0000000000000007E-2</v>
      </c>
      <c r="K182" s="880"/>
      <c r="L182" s="880"/>
    </row>
    <row r="183" spans="1:12">
      <c r="A183" s="1679" t="s">
        <v>1305</v>
      </c>
      <c r="B183" s="1679"/>
      <c r="C183" s="881">
        <v>48000</v>
      </c>
      <c r="D183" s="1679" t="s">
        <v>98</v>
      </c>
      <c r="E183" s="1679"/>
      <c r="F183" s="881">
        <v>58000</v>
      </c>
      <c r="G183" s="880" t="s">
        <v>1312</v>
      </c>
      <c r="H183" s="880"/>
      <c r="I183" s="880"/>
      <c r="J183" s="880">
        <f>C186</f>
        <v>0.33</v>
      </c>
      <c r="K183" s="880"/>
      <c r="L183" s="880"/>
    </row>
    <row r="184" spans="1:12">
      <c r="A184" s="1679" t="s">
        <v>1305</v>
      </c>
      <c r="B184" s="1679"/>
      <c r="C184" s="881">
        <v>35000</v>
      </c>
      <c r="D184" s="1679" t="s">
        <v>98</v>
      </c>
      <c r="E184" s="1679"/>
      <c r="F184" s="881">
        <v>25000</v>
      </c>
      <c r="G184" s="880" t="s">
        <v>1313</v>
      </c>
      <c r="H184" s="880"/>
      <c r="I184" s="880"/>
      <c r="J184" s="880">
        <f>1-J183</f>
        <v>0.66999999999999993</v>
      </c>
      <c r="K184" s="880" t="s">
        <v>1314</v>
      </c>
      <c r="L184" s="882">
        <f>J182*J184</f>
        <v>4.6899999999999997E-2</v>
      </c>
    </row>
    <row r="185" spans="1:12">
      <c r="A185" s="880" t="s">
        <v>1306</v>
      </c>
      <c r="B185" s="880"/>
      <c r="C185" s="883">
        <v>0.22</v>
      </c>
      <c r="D185" s="1681" t="s">
        <v>1307</v>
      </c>
      <c r="E185" s="1681"/>
      <c r="F185" s="1680">
        <v>7.0000000000000007E-2</v>
      </c>
      <c r="G185" s="880" t="s">
        <v>1315</v>
      </c>
      <c r="H185" s="880"/>
      <c r="I185" s="880"/>
      <c r="J185" s="880">
        <f>F188</f>
        <v>0.52156862745098043</v>
      </c>
      <c r="K185" s="880"/>
      <c r="L185" s="880"/>
    </row>
    <row r="186" spans="1:12">
      <c r="A186" s="880" t="s">
        <v>1308</v>
      </c>
      <c r="B186" s="880"/>
      <c r="C186" s="883">
        <v>0.33</v>
      </c>
      <c r="D186" s="1681"/>
      <c r="E186" s="1681"/>
      <c r="F186" s="1680"/>
      <c r="G186" s="880" t="s">
        <v>1316</v>
      </c>
      <c r="H186" s="880"/>
      <c r="I186" s="880"/>
      <c r="J186" s="880">
        <f>C188</f>
        <v>0.47843137254901963</v>
      </c>
      <c r="K186" s="880"/>
      <c r="L186" s="880"/>
    </row>
    <row r="187" spans="1:12">
      <c r="A187" s="884" t="s">
        <v>43</v>
      </c>
      <c r="B187" s="884"/>
      <c r="C187" s="885">
        <f>SUM(C182:C184)</f>
        <v>122000</v>
      </c>
      <c r="D187" s="884" t="s">
        <v>43</v>
      </c>
      <c r="E187" s="884"/>
      <c r="F187" s="885">
        <f>SUM(F182:F184)</f>
        <v>133000</v>
      </c>
      <c r="G187" s="880" t="s">
        <v>1317</v>
      </c>
      <c r="H187" s="880"/>
      <c r="I187" s="880"/>
      <c r="J187" s="880"/>
      <c r="K187" s="886">
        <f>C185</f>
        <v>0.22</v>
      </c>
      <c r="L187" s="880"/>
    </row>
    <row r="188" spans="1:12">
      <c r="A188" s="880" t="s">
        <v>1309</v>
      </c>
      <c r="B188" s="880"/>
      <c r="C188" s="880">
        <f>C187/SUM(C187,F187)</f>
        <v>0.47843137254901963</v>
      </c>
      <c r="D188" s="880" t="s">
        <v>1310</v>
      </c>
      <c r="E188" s="880"/>
      <c r="F188" s="880">
        <f>F187/SUM(C187,F187)</f>
        <v>0.52156862745098043</v>
      </c>
      <c r="G188" s="880" t="s">
        <v>1318</v>
      </c>
      <c r="H188" s="880"/>
      <c r="I188" s="880"/>
      <c r="J188" s="880"/>
      <c r="K188" s="880"/>
      <c r="L188" s="882">
        <f>K187*J185+(J186*L184)</f>
        <v>0.1371835294117647</v>
      </c>
    </row>
    <row r="190" spans="1:12">
      <c r="A190" s="972" t="s">
        <v>1373</v>
      </c>
    </row>
    <row r="191" spans="1:12">
      <c r="A191" s="972"/>
    </row>
    <row r="192" spans="1:12">
      <c r="A192" s="1686" t="s">
        <v>1363</v>
      </c>
      <c r="B192" s="1687"/>
      <c r="C192" s="1687"/>
      <c r="D192" s="1687"/>
      <c r="E192" s="1687"/>
      <c r="F192" s="1687"/>
    </row>
    <row r="193" spans="1:6">
      <c r="A193" s="1685" t="s">
        <v>1359</v>
      </c>
      <c r="B193" s="1685"/>
      <c r="C193" s="1685"/>
      <c r="D193" s="1685"/>
      <c r="E193" s="1685"/>
      <c r="F193" s="962">
        <v>345</v>
      </c>
    </row>
    <row r="194" spans="1:6">
      <c r="A194" s="1685" t="s">
        <v>1360</v>
      </c>
      <c r="B194" s="1685"/>
      <c r="C194" s="1685"/>
      <c r="D194" s="1685"/>
      <c r="E194" s="1685"/>
      <c r="F194" s="962">
        <v>25</v>
      </c>
    </row>
    <row r="195" spans="1:6">
      <c r="A195" s="1685" t="s">
        <v>1364</v>
      </c>
      <c r="B195" s="1685"/>
      <c r="C195" s="1685"/>
      <c r="D195" s="1685"/>
      <c r="E195" s="1685"/>
      <c r="F195" s="963">
        <f>F193-F194</f>
        <v>320</v>
      </c>
    </row>
    <row r="196" spans="1:6">
      <c r="A196" s="1685" t="s">
        <v>1361</v>
      </c>
      <c r="B196" s="1685"/>
      <c r="C196" s="1685"/>
      <c r="D196" s="1685"/>
      <c r="E196" s="1685"/>
      <c r="F196" s="963">
        <f>F195/F193</f>
        <v>0.92753623188405798</v>
      </c>
    </row>
    <row r="197" spans="1:6">
      <c r="A197" s="1682" t="s">
        <v>1362</v>
      </c>
      <c r="B197" s="1683"/>
      <c r="C197" s="1683"/>
      <c r="D197" s="1683"/>
      <c r="E197" s="1684"/>
      <c r="F197" s="962">
        <v>45</v>
      </c>
    </row>
    <row r="198" spans="1:6">
      <c r="A198" s="1685" t="s">
        <v>1365</v>
      </c>
      <c r="B198" s="1685"/>
      <c r="C198" s="1685"/>
      <c r="D198" s="1685"/>
      <c r="E198" s="1685"/>
      <c r="F198" s="963">
        <f>F197/F196</f>
        <v>48.515625</v>
      </c>
    </row>
  </sheetData>
  <sheetProtection selectLockedCells="1"/>
  <mergeCells count="18">
    <mergeCell ref="A197:E197"/>
    <mergeCell ref="A198:E198"/>
    <mergeCell ref="A192:F192"/>
    <mergeCell ref="A193:E193"/>
    <mergeCell ref="A194:E194"/>
    <mergeCell ref="A195:E195"/>
    <mergeCell ref="A196:E196"/>
    <mergeCell ref="F185:F186"/>
    <mergeCell ref="A183:B183"/>
    <mergeCell ref="D183:E183"/>
    <mergeCell ref="A184:B184"/>
    <mergeCell ref="D184:E184"/>
    <mergeCell ref="D185:E186"/>
    <mergeCell ref="A19:J19"/>
    <mergeCell ref="A115:G115"/>
    <mergeCell ref="A140:E140"/>
    <mergeCell ref="A182:B182"/>
    <mergeCell ref="D182:E182"/>
  </mergeCells>
  <pageMargins left="0.7" right="0.7" top="0.75" bottom="0.75" header="0.3" footer="0.3"/>
  <pageSetup paperSize="9" orientation="portrait" horizontalDpi="4294967293" verticalDpi="0" r:id="rId1"/>
  <drawing r:id="rId2"/>
  <legacyDrawing r:id="rId3"/>
</worksheet>
</file>

<file path=xl/worksheets/sheet11.xml><?xml version="1.0" encoding="utf-8"?>
<worksheet xmlns="http://schemas.openxmlformats.org/spreadsheetml/2006/main" xmlns:r="http://schemas.openxmlformats.org/officeDocument/2006/relationships">
  <sheetPr codeName="Feuil12"/>
  <dimension ref="B2:J43"/>
  <sheetViews>
    <sheetView workbookViewId="0">
      <selection activeCell="K13" sqref="K13"/>
    </sheetView>
  </sheetViews>
  <sheetFormatPr baseColWidth="10" defaultRowHeight="12.75"/>
  <cols>
    <col min="1" max="1" width="7.7109375" style="363" customWidth="1"/>
    <col min="2" max="2" width="11.42578125" style="363"/>
    <col min="3" max="3" width="15.7109375" style="363" customWidth="1"/>
    <col min="4" max="9" width="11.42578125" style="363"/>
    <col min="10" max="10" width="13.5703125" style="363" customWidth="1"/>
    <col min="11" max="16384" width="11.42578125" style="363"/>
  </cols>
  <sheetData>
    <row r="2" spans="2:10" ht="13.5" thickBot="1"/>
    <row r="3" spans="2:10" ht="13.5" thickBot="1">
      <c r="B3" s="364" t="s">
        <v>51</v>
      </c>
      <c r="C3" s="365"/>
      <c r="D3" s="365"/>
      <c r="E3" s="365"/>
      <c r="F3" s="365"/>
      <c r="G3" s="365"/>
      <c r="H3" s="365"/>
      <c r="I3" s="365"/>
      <c r="J3" s="366"/>
    </row>
    <row r="4" spans="2:10">
      <c r="B4" s="367" t="s">
        <v>1200</v>
      </c>
      <c r="C4" s="368"/>
      <c r="D4" s="368"/>
      <c r="E4" s="369" t="s">
        <v>27</v>
      </c>
      <c r="F4" s="368"/>
      <c r="G4" s="370"/>
      <c r="H4" s="370"/>
      <c r="I4" s="370"/>
      <c r="J4" s="371"/>
    </row>
    <row r="5" spans="2:10">
      <c r="B5" s="372" t="s">
        <v>28</v>
      </c>
      <c r="C5" s="373">
        <v>10000</v>
      </c>
      <c r="D5" s="374" t="s">
        <v>1685</v>
      </c>
      <c r="E5" s="375">
        <v>1</v>
      </c>
      <c r="F5" s="375">
        <v>5</v>
      </c>
      <c r="G5" s="376">
        <v>2013</v>
      </c>
      <c r="H5" s="374" t="s">
        <v>29</v>
      </c>
      <c r="I5" s="374"/>
      <c r="J5" s="377"/>
    </row>
    <row r="6" spans="2:10">
      <c r="B6" s="372" t="s">
        <v>30</v>
      </c>
      <c r="C6" s="378">
        <v>0.2</v>
      </c>
      <c r="D6" s="374" t="s">
        <v>1684</v>
      </c>
      <c r="E6" s="375">
        <v>31</v>
      </c>
      <c r="F6" s="375">
        <v>12</v>
      </c>
      <c r="G6" s="376">
        <v>2013</v>
      </c>
      <c r="H6" s="379">
        <f>(((360*(G6-G5))+(30*(F6-F5))+(E6-E5)))</f>
        <v>240</v>
      </c>
      <c r="I6" s="374"/>
      <c r="J6" s="377"/>
    </row>
    <row r="7" spans="2:10">
      <c r="B7" s="372" t="s">
        <v>31</v>
      </c>
      <c r="C7" s="373">
        <v>5</v>
      </c>
      <c r="D7" s="374">
        <f>(C7*(1+C7))/2</f>
        <v>15</v>
      </c>
      <c r="E7" s="374"/>
      <c r="F7" s="374">
        <f>C5/D7</f>
        <v>666.66666666666663</v>
      </c>
      <c r="G7" s="374"/>
      <c r="H7" s="374"/>
      <c r="I7" s="374"/>
      <c r="J7" s="377"/>
    </row>
    <row r="8" spans="2:10">
      <c r="B8" s="372" t="s">
        <v>32</v>
      </c>
      <c r="C8" s="373">
        <v>2</v>
      </c>
      <c r="D8" s="374">
        <f>PRODUCT(C6,C8)</f>
        <v>0.4</v>
      </c>
      <c r="E8" s="374"/>
      <c r="F8" s="374"/>
      <c r="G8" s="374"/>
      <c r="H8" s="374"/>
      <c r="I8" s="374"/>
      <c r="J8" s="377"/>
    </row>
    <row r="9" spans="2:10">
      <c r="B9" s="372" t="s">
        <v>33</v>
      </c>
      <c r="C9" s="374"/>
      <c r="D9" s="374">
        <v>365</v>
      </c>
      <c r="E9" s="374">
        <f>D9-C9</f>
        <v>365</v>
      </c>
      <c r="F9" s="374">
        <f>E9/360</f>
        <v>1.0138888888888888</v>
      </c>
      <c r="G9" s="374"/>
      <c r="H9" s="374"/>
      <c r="I9" s="374"/>
      <c r="J9" s="377"/>
    </row>
    <row r="10" spans="2:10">
      <c r="B10" s="372" t="s">
        <v>34</v>
      </c>
      <c r="C10" s="380">
        <f>SLN(C5,,C7)</f>
        <v>2000</v>
      </c>
      <c r="D10" s="381" t="s">
        <v>35</v>
      </c>
      <c r="E10" s="380"/>
      <c r="F10" s="380"/>
      <c r="G10" s="382" t="s">
        <v>36</v>
      </c>
      <c r="H10" s="383"/>
      <c r="I10" s="384" t="s">
        <v>37</v>
      </c>
      <c r="J10" s="385"/>
    </row>
    <row r="11" spans="2:10">
      <c r="B11" s="372" t="s">
        <v>38</v>
      </c>
      <c r="C11" s="380" t="s">
        <v>9</v>
      </c>
      <c r="D11" s="380" t="s">
        <v>39</v>
      </c>
      <c r="E11" s="380" t="s">
        <v>40</v>
      </c>
      <c r="F11" s="380" t="s">
        <v>41</v>
      </c>
      <c r="G11" s="386" t="s">
        <v>39</v>
      </c>
      <c r="H11" s="387" t="s">
        <v>41</v>
      </c>
      <c r="I11" s="388" t="s">
        <v>39</v>
      </c>
      <c r="J11" s="385" t="s">
        <v>41</v>
      </c>
    </row>
    <row r="12" spans="2:10">
      <c r="B12" s="372" t="s">
        <v>42</v>
      </c>
      <c r="C12" s="380">
        <f>C10*H6/360</f>
        <v>1333.3333333333333</v>
      </c>
      <c r="D12" s="380">
        <f>C12</f>
        <v>1333.3333333333333</v>
      </c>
      <c r="E12" s="380">
        <f>D12</f>
        <v>1333.3333333333333</v>
      </c>
      <c r="F12" s="380">
        <f>C5-D12</f>
        <v>8666.6666666666661</v>
      </c>
      <c r="G12" s="383">
        <f>C5*D8*H6/360</f>
        <v>2666.6666666666665</v>
      </c>
      <c r="H12" s="383">
        <f>C5-G12</f>
        <v>7333.3333333333339</v>
      </c>
      <c r="I12" s="388">
        <f>F7*H6/360</f>
        <v>444.44444444444446</v>
      </c>
      <c r="J12" s="385">
        <f>C5-I12</f>
        <v>9555.5555555555547</v>
      </c>
    </row>
    <row r="13" spans="2:10">
      <c r="B13" s="372">
        <v>1</v>
      </c>
      <c r="C13" s="380">
        <f>C10</f>
        <v>2000</v>
      </c>
      <c r="D13" s="380">
        <f>C13</f>
        <v>2000</v>
      </c>
      <c r="E13" s="380">
        <f>D12+D13</f>
        <v>3333.333333333333</v>
      </c>
      <c r="F13" s="380">
        <f>F12-D13</f>
        <v>6666.6666666666661</v>
      </c>
      <c r="G13" s="383">
        <f>H12*D8</f>
        <v>2933.3333333333339</v>
      </c>
      <c r="H13" s="383">
        <f>H12-G13</f>
        <v>4400</v>
      </c>
      <c r="I13" s="388">
        <f>I12+F7</f>
        <v>1111.1111111111111</v>
      </c>
      <c r="J13" s="385">
        <f>J12-I13</f>
        <v>8444.4444444444434</v>
      </c>
    </row>
    <row r="14" spans="2:10">
      <c r="B14" s="372">
        <v>2</v>
      </c>
      <c r="C14" s="380">
        <f>C10</f>
        <v>2000</v>
      </c>
      <c r="D14" s="380">
        <f>C14</f>
        <v>2000</v>
      </c>
      <c r="E14" s="380">
        <f>E13+D14</f>
        <v>5333.333333333333</v>
      </c>
      <c r="F14" s="380">
        <f>F13-D14</f>
        <v>4666.6666666666661</v>
      </c>
      <c r="G14" s="383">
        <f>H13*D8</f>
        <v>1760</v>
      </c>
      <c r="H14" s="383">
        <f>H13-G14</f>
        <v>2640</v>
      </c>
      <c r="I14" s="388">
        <f>I13+F7</f>
        <v>1777.7777777777778</v>
      </c>
      <c r="J14" s="385">
        <f>J13-I14</f>
        <v>6666.6666666666661</v>
      </c>
    </row>
    <row r="15" spans="2:10">
      <c r="B15" s="372">
        <v>3</v>
      </c>
      <c r="C15" s="380">
        <f>C10</f>
        <v>2000</v>
      </c>
      <c r="D15" s="380">
        <f>C15</f>
        <v>2000</v>
      </c>
      <c r="E15" s="380">
        <f>E14+D15</f>
        <v>7333.333333333333</v>
      </c>
      <c r="F15" s="380">
        <f>F14-D15</f>
        <v>2666.6666666666661</v>
      </c>
      <c r="G15" s="383">
        <f>H14*D8</f>
        <v>1056</v>
      </c>
      <c r="H15" s="383">
        <f>H14-G15</f>
        <v>1584</v>
      </c>
      <c r="I15" s="388">
        <f>I14+F7</f>
        <v>2444.4444444444443</v>
      </c>
      <c r="J15" s="385">
        <f>J14-I15</f>
        <v>4222.2222222222217</v>
      </c>
    </row>
    <row r="16" spans="2:10">
      <c r="B16" s="372">
        <v>4</v>
      </c>
      <c r="C16" s="380">
        <f>C10</f>
        <v>2000</v>
      </c>
      <c r="D16" s="380">
        <f>C16</f>
        <v>2000</v>
      </c>
      <c r="E16" s="380">
        <f>E15+D16</f>
        <v>9333.3333333333321</v>
      </c>
      <c r="F16" s="380">
        <f>F15-D16</f>
        <v>666.66666666666606</v>
      </c>
      <c r="G16" s="383">
        <f>(H15/2)</f>
        <v>792</v>
      </c>
      <c r="H16" s="383">
        <f>H15-G16</f>
        <v>792</v>
      </c>
      <c r="I16" s="388">
        <f>I15+F7</f>
        <v>3111.1111111111109</v>
      </c>
      <c r="J16" s="385">
        <f>J15-I16</f>
        <v>1111.1111111111109</v>
      </c>
    </row>
    <row r="17" spans="2:10">
      <c r="B17" s="372">
        <v>5</v>
      </c>
      <c r="C17" s="380">
        <f>C10-C12</f>
        <v>666.66666666666674</v>
      </c>
      <c r="D17" s="380">
        <f>C17</f>
        <v>666.66666666666674</v>
      </c>
      <c r="E17" s="380">
        <f>E16+D17</f>
        <v>9999.9999999999982</v>
      </c>
      <c r="F17" s="380">
        <f>F16-D17</f>
        <v>0</v>
      </c>
      <c r="G17" s="383">
        <f>(H16)</f>
        <v>792</v>
      </c>
      <c r="H17" s="383">
        <f>H16-G17</f>
        <v>0</v>
      </c>
      <c r="I17" s="388">
        <f>I16</f>
        <v>3111.1111111111109</v>
      </c>
      <c r="J17" s="385">
        <f>J16-I17</f>
        <v>-2000</v>
      </c>
    </row>
    <row r="18" spans="2:10">
      <c r="B18" s="389" t="s">
        <v>43</v>
      </c>
      <c r="C18" s="390">
        <f>SUM(C12:C17)</f>
        <v>9999.9999999999982</v>
      </c>
      <c r="D18" s="390">
        <f>SUM(D12:D17)</f>
        <v>9999.9999999999982</v>
      </c>
      <c r="E18" s="390"/>
      <c r="F18" s="390">
        <f>C5-E17</f>
        <v>0</v>
      </c>
      <c r="G18" s="391">
        <f>SUM(G12:G17)</f>
        <v>10000</v>
      </c>
      <c r="H18" s="392">
        <f>C5-SUM(G12:G17)</f>
        <v>0</v>
      </c>
      <c r="I18" s="390">
        <f>SUM(I12:I17)+J17</f>
        <v>10000</v>
      </c>
      <c r="J18" s="393">
        <f>C5-I18</f>
        <v>0</v>
      </c>
    </row>
    <row r="19" spans="2:10">
      <c r="B19" s="394">
        <v>6813</v>
      </c>
      <c r="C19" s="362" t="s">
        <v>417</v>
      </c>
      <c r="D19" s="395"/>
      <c r="E19" s="396">
        <f>D12</f>
        <v>1333.3333333333333</v>
      </c>
      <c r="F19" s="397"/>
      <c r="G19" s="395">
        <f>B19</f>
        <v>6813</v>
      </c>
      <c r="H19" s="395" t="str">
        <f>C19</f>
        <v>Dotations aux amortissements des immobilisations corporelles</v>
      </c>
      <c r="I19" s="396">
        <f>G12</f>
        <v>2666.6666666666665</v>
      </c>
      <c r="J19" s="398"/>
    </row>
    <row r="20" spans="2:10" ht="13.5" thickBot="1">
      <c r="B20" s="399"/>
      <c r="C20" s="400">
        <v>2844</v>
      </c>
      <c r="D20" s="401" t="s">
        <v>315</v>
      </c>
      <c r="E20" s="402"/>
      <c r="F20" s="403">
        <f>E19</f>
        <v>1333.3333333333333</v>
      </c>
      <c r="G20" s="404"/>
      <c r="H20" s="405">
        <f>C20</f>
        <v>2844</v>
      </c>
      <c r="I20" s="405" t="str">
        <f>D20</f>
        <v>Amortissements. matériel, mobilier</v>
      </c>
      <c r="J20" s="406">
        <f>I19</f>
        <v>2666.6666666666665</v>
      </c>
    </row>
    <row r="21" spans="2:10" ht="13.5" thickBot="1"/>
    <row r="22" spans="2:10" ht="13.5" thickBot="1">
      <c r="B22" s="364" t="s">
        <v>50</v>
      </c>
      <c r="C22" s="407"/>
      <c r="D22" s="365"/>
      <c r="E22" s="365"/>
      <c r="F22" s="365"/>
      <c r="G22" s="365"/>
      <c r="H22" s="365"/>
      <c r="I22" s="365"/>
      <c r="J22" s="366"/>
    </row>
    <row r="23" spans="2:10">
      <c r="B23" s="408" t="s">
        <v>45</v>
      </c>
      <c r="C23" s="409"/>
      <c r="D23" s="409"/>
      <c r="E23" s="410"/>
      <c r="F23" s="411">
        <v>3</v>
      </c>
      <c r="G23" s="412" t="s">
        <v>90</v>
      </c>
      <c r="H23" s="413">
        <f>IF(F23="","",VLOOKUP(F23,B12:F17,3,0))</f>
        <v>2000</v>
      </c>
      <c r="I23" s="414" t="s">
        <v>91</v>
      </c>
      <c r="J23" s="415">
        <f>IF(F23="","",VLOOKUP(F23,B12:F17,4,0))</f>
        <v>7333.333333333333</v>
      </c>
    </row>
    <row r="24" spans="2:10">
      <c r="B24" s="416" t="s">
        <v>89</v>
      </c>
      <c r="C24" s="397"/>
      <c r="D24" s="397"/>
      <c r="E24" s="417">
        <f>C5</f>
        <v>10000</v>
      </c>
      <c r="F24" s="397"/>
      <c r="G24" s="417"/>
      <c r="H24" s="417">
        <f>PRODUCT(E24:F24)</f>
        <v>10000</v>
      </c>
      <c r="I24" s="418"/>
      <c r="J24" s="419"/>
    </row>
    <row r="25" spans="2:10">
      <c r="B25" s="416" t="s">
        <v>47</v>
      </c>
      <c r="C25" s="397"/>
      <c r="D25" s="397"/>
      <c r="E25" s="397">
        <v>1</v>
      </c>
      <c r="F25" s="420">
        <v>5000</v>
      </c>
      <c r="G25" s="417"/>
      <c r="H25" s="417">
        <f>PRODUCT(E25:F25)</f>
        <v>5000</v>
      </c>
      <c r="I25" s="418"/>
      <c r="J25" s="419"/>
    </row>
    <row r="26" spans="2:10">
      <c r="B26" s="416" t="s">
        <v>2</v>
      </c>
      <c r="C26" s="397"/>
      <c r="D26" s="397"/>
      <c r="E26" s="397"/>
      <c r="F26" s="378">
        <v>0.185</v>
      </c>
      <c r="G26" s="417"/>
      <c r="H26" s="417">
        <f>H25*F26</f>
        <v>925</v>
      </c>
      <c r="I26" s="418"/>
      <c r="J26" s="419"/>
    </row>
    <row r="27" spans="2:10">
      <c r="B27" s="421" t="s">
        <v>46</v>
      </c>
      <c r="C27" s="397"/>
      <c r="D27" s="397"/>
      <c r="E27" s="417"/>
      <c r="F27" s="417"/>
      <c r="G27" s="422"/>
      <c r="H27" s="422">
        <f>H25</f>
        <v>5000</v>
      </c>
      <c r="I27" s="417"/>
      <c r="J27" s="423"/>
    </row>
    <row r="28" spans="2:10">
      <c r="B28" s="421" t="str">
        <f>B26</f>
        <v>TVA due</v>
      </c>
      <c r="C28" s="397"/>
      <c r="D28" s="397"/>
      <c r="E28" s="417"/>
      <c r="F28" s="417"/>
      <c r="G28" s="422"/>
      <c r="H28" s="422">
        <f>H26</f>
        <v>925</v>
      </c>
      <c r="I28" s="417"/>
      <c r="J28" s="423"/>
    </row>
    <row r="29" spans="2:10">
      <c r="B29" s="421" t="s">
        <v>49</v>
      </c>
      <c r="C29" s="397"/>
      <c r="D29" s="397"/>
      <c r="E29" s="417"/>
      <c r="F29" s="417"/>
      <c r="G29" s="422">
        <f>SUM(H27:H28)</f>
        <v>5925</v>
      </c>
      <c r="H29" s="422"/>
      <c r="I29" s="417"/>
      <c r="J29" s="423"/>
    </row>
    <row r="30" spans="2:10">
      <c r="B30" s="424" t="s">
        <v>48</v>
      </c>
      <c r="C30" s="397"/>
      <c r="D30" s="397"/>
      <c r="E30" s="417"/>
      <c r="F30" s="417"/>
      <c r="G30" s="422"/>
      <c r="H30" s="422"/>
      <c r="I30" s="417"/>
      <c r="J30" s="423"/>
    </row>
    <row r="31" spans="2:10">
      <c r="B31" s="424">
        <f>B19</f>
        <v>6813</v>
      </c>
      <c r="C31" s="424" t="str">
        <f>C19</f>
        <v>Dotations aux amortissements des immobilisations corporelles</v>
      </c>
      <c r="D31" s="397"/>
      <c r="E31" s="417"/>
      <c r="F31" s="417"/>
      <c r="G31" s="422">
        <f>H23</f>
        <v>2000</v>
      </c>
      <c r="H31" s="422"/>
      <c r="I31" s="417"/>
      <c r="J31" s="423"/>
    </row>
    <row r="32" spans="2:10">
      <c r="B32" s="424">
        <f>C20</f>
        <v>2844</v>
      </c>
      <c r="C32" s="424" t="str">
        <f>D20</f>
        <v>Amortissements. matériel, mobilier</v>
      </c>
      <c r="D32" s="397"/>
      <c r="E32" s="417"/>
      <c r="F32" s="417"/>
      <c r="G32" s="422"/>
      <c r="H32" s="422">
        <f>G31</f>
        <v>2000</v>
      </c>
      <c r="I32" s="417"/>
      <c r="J32" s="423"/>
    </row>
    <row r="33" spans="2:10">
      <c r="B33" s="424" t="s">
        <v>87</v>
      </c>
      <c r="C33" s="397"/>
      <c r="D33" s="397"/>
      <c r="E33" s="417">
        <f>E24</f>
        <v>10000</v>
      </c>
      <c r="F33" s="417">
        <f>J23</f>
        <v>7333.333333333333</v>
      </c>
      <c r="G33" s="422"/>
      <c r="H33" s="422"/>
      <c r="I33" s="417"/>
      <c r="J33" s="425">
        <f>E33-F33</f>
        <v>2666.666666666667</v>
      </c>
    </row>
    <row r="34" spans="2:10">
      <c r="B34" s="424" t="s">
        <v>88</v>
      </c>
      <c r="C34" s="397"/>
      <c r="D34" s="397"/>
      <c r="E34" s="417"/>
      <c r="F34" s="417"/>
      <c r="G34" s="1111"/>
      <c r="H34" s="422"/>
      <c r="I34" s="417"/>
      <c r="J34" s="423"/>
    </row>
    <row r="35" spans="2:10">
      <c r="B35" s="362">
        <v>279</v>
      </c>
      <c r="C35" s="362" t="s">
        <v>733</v>
      </c>
      <c r="D35" s="397"/>
      <c r="E35" s="417"/>
      <c r="F35" s="417"/>
      <c r="G35" s="422"/>
      <c r="H35" s="422">
        <f>SUM(J36:J37)</f>
        <v>5925</v>
      </c>
      <c r="I35" s="417"/>
      <c r="J35" s="417"/>
    </row>
    <row r="36" spans="2:10">
      <c r="B36" s="362"/>
      <c r="C36" s="362">
        <v>4431</v>
      </c>
      <c r="D36" s="362" t="s">
        <v>1024</v>
      </c>
      <c r="E36" s="417"/>
      <c r="F36" s="417"/>
      <c r="G36" s="422"/>
      <c r="H36" s="422"/>
      <c r="I36" s="417"/>
      <c r="J36" s="417">
        <f>H26</f>
        <v>925</v>
      </c>
    </row>
    <row r="37" spans="2:10">
      <c r="B37" s="362"/>
      <c r="C37" s="362">
        <v>8220</v>
      </c>
      <c r="D37" s="362" t="s">
        <v>734</v>
      </c>
      <c r="E37" s="417"/>
      <c r="F37" s="417"/>
      <c r="G37" s="422"/>
      <c r="H37" s="422"/>
      <c r="I37" s="417"/>
      <c r="J37" s="417">
        <f>F25</f>
        <v>5000</v>
      </c>
    </row>
    <row r="38" spans="2:10">
      <c r="B38" s="426"/>
      <c r="C38" s="427" t="str">
        <f>IF(G38&gt;0,"Gain exceptionnel","Perte exceptionnelle")</f>
        <v>Gain exceptionnel</v>
      </c>
      <c r="D38" s="428"/>
      <c r="E38" s="429"/>
      <c r="F38" s="429"/>
      <c r="G38" s="430">
        <f>H27-J33</f>
        <v>2333.333333333333</v>
      </c>
      <c r="H38" s="431"/>
      <c r="I38" s="429"/>
      <c r="J38" s="432"/>
    </row>
    <row r="39" spans="2:10">
      <c r="B39" s="433" t="s">
        <v>735</v>
      </c>
      <c r="C39" s="433"/>
      <c r="D39" s="434"/>
      <c r="E39" s="434"/>
      <c r="F39" s="434"/>
      <c r="G39" s="434"/>
      <c r="H39" s="435"/>
      <c r="I39" s="434"/>
      <c r="J39" s="434"/>
    </row>
    <row r="40" spans="2:10">
      <c r="B40" s="434"/>
      <c r="C40" s="434"/>
      <c r="D40" s="434"/>
      <c r="E40" s="434"/>
      <c r="F40" s="434"/>
      <c r="G40" s="434"/>
      <c r="H40" s="435"/>
      <c r="I40" s="434"/>
      <c r="J40" s="434"/>
    </row>
    <row r="41" spans="2:10">
      <c r="B41" s="436">
        <f>B32</f>
        <v>2844</v>
      </c>
      <c r="C41" s="674" t="str">
        <f>C32</f>
        <v>Amortissements. matériel, mobilier</v>
      </c>
      <c r="D41" s="434"/>
      <c r="E41" s="362"/>
      <c r="F41" s="434"/>
      <c r="G41" s="434"/>
      <c r="H41" s="435"/>
      <c r="I41" s="437">
        <f>J23</f>
        <v>7333.333333333333</v>
      </c>
      <c r="J41" s="362"/>
    </row>
    <row r="42" spans="2:10">
      <c r="B42" s="362">
        <v>812</v>
      </c>
      <c r="C42" s="362" t="s">
        <v>736</v>
      </c>
      <c r="D42" s="434"/>
      <c r="E42" s="362"/>
      <c r="F42" s="434"/>
      <c r="G42" s="434"/>
      <c r="H42" s="435"/>
      <c r="I42" s="437">
        <f>J33</f>
        <v>2666.666666666667</v>
      </c>
      <c r="J42" s="362"/>
    </row>
    <row r="43" spans="2:10">
      <c r="B43" s="362"/>
      <c r="C43" s="438">
        <v>244</v>
      </c>
      <c r="D43" s="439" t="s">
        <v>314</v>
      </c>
      <c r="E43" s="362"/>
      <c r="F43" s="434"/>
      <c r="G43" s="434"/>
      <c r="H43" s="435"/>
      <c r="I43" s="362"/>
      <c r="J43" s="362">
        <f>SUM(I41:I42)</f>
        <v>10000</v>
      </c>
    </row>
  </sheetData>
  <sheetProtection selectLockedCells="1"/>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sheetPr codeName="Feuil13"/>
  <dimension ref="B3:I72"/>
  <sheetViews>
    <sheetView topLeftCell="B1" workbookViewId="0">
      <selection activeCell="F14" sqref="F14"/>
    </sheetView>
  </sheetViews>
  <sheetFormatPr baseColWidth="10" defaultRowHeight="12.75"/>
  <cols>
    <col min="1" max="1" width="3.42578125" style="440" customWidth="1"/>
    <col min="2" max="2" width="18.140625" style="440" customWidth="1"/>
    <col min="3" max="3" width="15" style="440" customWidth="1"/>
    <col min="4" max="4" width="17.140625" style="440" customWidth="1"/>
    <col min="5" max="5" width="15.28515625" style="440" customWidth="1"/>
    <col min="6" max="6" width="13.7109375" style="440" customWidth="1"/>
    <col min="7" max="7" width="13.140625" style="440" customWidth="1"/>
    <col min="8" max="8" width="14.5703125" style="440" customWidth="1"/>
    <col min="9" max="9" width="15" style="440" customWidth="1"/>
    <col min="10" max="10" width="15.140625" style="440" customWidth="1"/>
    <col min="11" max="16384" width="11.42578125" style="440"/>
  </cols>
  <sheetData>
    <row r="3" spans="2:9" ht="13.5" thickBot="1">
      <c r="B3" s="498" t="s">
        <v>52</v>
      </c>
      <c r="C3" s="499"/>
      <c r="D3" s="499"/>
      <c r="E3" s="499"/>
      <c r="F3" s="499"/>
      <c r="G3" s="499"/>
      <c r="H3" s="499"/>
      <c r="I3" s="500"/>
    </row>
    <row r="4" spans="2:9">
      <c r="B4" s="409" t="s">
        <v>53</v>
      </c>
      <c r="C4" s="411">
        <v>150000</v>
      </c>
      <c r="D4" s="409">
        <f>C4</f>
        <v>150000</v>
      </c>
      <c r="E4" s="409">
        <f>C4</f>
        <v>150000</v>
      </c>
      <c r="F4" s="409" t="s">
        <v>54</v>
      </c>
      <c r="G4" s="409">
        <v>0</v>
      </c>
      <c r="H4" s="409"/>
      <c r="I4" s="414">
        <f>G4</f>
        <v>0</v>
      </c>
    </row>
    <row r="5" spans="2:9">
      <c r="B5" s="397" t="s">
        <v>55</v>
      </c>
      <c r="C5" s="441">
        <v>7.0000000000000007E-2</v>
      </c>
      <c r="D5" s="442">
        <f>C5</f>
        <v>7.0000000000000007E-2</v>
      </c>
      <c r="E5" s="443">
        <f>C5</f>
        <v>7.0000000000000007E-2</v>
      </c>
      <c r="F5" s="397" t="str">
        <f>B5</f>
        <v>Taux d'intérêt annuelle</v>
      </c>
      <c r="G5" s="443">
        <f>((1+G9)^C6)-1</f>
        <v>1.2521915889608235</v>
      </c>
      <c r="H5" s="443">
        <f>((1+H9)^D6)-1</f>
        <v>7.0000000000000062E-2</v>
      </c>
      <c r="I5" s="443">
        <f>((1+I9)^E6)-1</f>
        <v>7.0000000000000062E-2</v>
      </c>
    </row>
    <row r="6" spans="2:9">
      <c r="B6" s="397" t="s">
        <v>56</v>
      </c>
      <c r="C6" s="397">
        <v>12</v>
      </c>
      <c r="D6" s="444">
        <f>C6/4</f>
        <v>3</v>
      </c>
      <c r="E6" s="397">
        <f>C6/6</f>
        <v>2</v>
      </c>
      <c r="F6" s="397" t="str">
        <f>B6</f>
        <v>Durée mensuelle</v>
      </c>
      <c r="G6" s="397">
        <f t="shared" ref="G6:I7" si="0">C6</f>
        <v>12</v>
      </c>
      <c r="H6" s="444">
        <f t="shared" si="0"/>
        <v>3</v>
      </c>
      <c r="I6" s="444">
        <f t="shared" si="0"/>
        <v>2</v>
      </c>
    </row>
    <row r="7" spans="2:9">
      <c r="B7" s="397" t="s">
        <v>57</v>
      </c>
      <c r="C7" s="420">
        <v>5</v>
      </c>
      <c r="D7" s="397">
        <f>C7</f>
        <v>5</v>
      </c>
      <c r="E7" s="397">
        <f>C7</f>
        <v>5</v>
      </c>
      <c r="F7" s="397" t="str">
        <f>B7</f>
        <v>Durée annuelle</v>
      </c>
      <c r="G7" s="397">
        <f t="shared" si="0"/>
        <v>5</v>
      </c>
      <c r="H7" s="397">
        <f t="shared" si="0"/>
        <v>5</v>
      </c>
      <c r="I7" s="444">
        <f t="shared" si="0"/>
        <v>5</v>
      </c>
    </row>
    <row r="8" spans="2:9">
      <c r="B8" s="397" t="s">
        <v>58</v>
      </c>
      <c r="C8" s="397">
        <f>C6*C7</f>
        <v>60</v>
      </c>
      <c r="D8" s="397">
        <f>C8</f>
        <v>60</v>
      </c>
      <c r="E8" s="397">
        <f>C8</f>
        <v>60</v>
      </c>
      <c r="F8" s="397" t="str">
        <f>B8</f>
        <v>Durée mensuelle totale</v>
      </c>
      <c r="G8" s="397">
        <f>C8</f>
        <v>60</v>
      </c>
      <c r="H8" s="397">
        <f>C8</f>
        <v>60</v>
      </c>
      <c r="I8" s="444">
        <f>E8</f>
        <v>60</v>
      </c>
    </row>
    <row r="9" spans="2:9">
      <c r="B9" s="397" t="s">
        <v>59</v>
      </c>
      <c r="C9" s="445">
        <f>C5</f>
        <v>7.0000000000000007E-2</v>
      </c>
      <c r="D9" s="446">
        <f>((1+D5)^(1/D6))-1</f>
        <v>2.2809121769671536E-2</v>
      </c>
      <c r="E9" s="446">
        <f>((1+E5)^(1/E6))-1</f>
        <v>3.4408043278860045E-2</v>
      </c>
      <c r="F9" s="397" t="str">
        <f>B9</f>
        <v>Taux annuel</v>
      </c>
      <c r="G9" s="447">
        <f>C9</f>
        <v>7.0000000000000007E-2</v>
      </c>
      <c r="H9" s="448">
        <f>D9</f>
        <v>2.2809121769671536E-2</v>
      </c>
      <c r="I9" s="501">
        <f>E9</f>
        <v>3.4408043278860045E-2</v>
      </c>
    </row>
    <row r="10" spans="2:9">
      <c r="B10" s="455" t="s">
        <v>60</v>
      </c>
      <c r="C10" s="449">
        <f>(C4*C9)/(1-(1+C9)^-C7)</f>
        <v>36583.604166206111</v>
      </c>
      <c r="D10" s="422">
        <f>(D4*D9)/(1-(1+D9)^-D8)</f>
        <v>4613.6137231574648</v>
      </c>
      <c r="E10" s="422">
        <f>(E4*E9)/(1-(1+E9)^-E8)</f>
        <v>5941.7581279242713</v>
      </c>
      <c r="F10" s="397"/>
      <c r="G10" s="397"/>
      <c r="H10" s="397"/>
      <c r="I10" s="397"/>
    </row>
    <row r="11" spans="2:9">
      <c r="B11" s="397" t="s">
        <v>61</v>
      </c>
      <c r="C11" s="451">
        <f>C4*C5</f>
        <v>10500.000000000002</v>
      </c>
      <c r="D11" s="451">
        <f>D4*D9</f>
        <v>3421.3682654507306</v>
      </c>
      <c r="E11" s="451">
        <f>E4*E9</f>
        <v>5161.2064918290071</v>
      </c>
      <c r="F11" s="397"/>
      <c r="G11" s="397"/>
      <c r="H11" s="397"/>
      <c r="I11" s="397"/>
    </row>
    <row r="12" spans="2:9">
      <c r="B12" s="397" t="s">
        <v>44</v>
      </c>
      <c r="C12" s="422">
        <f>C10-C11</f>
        <v>26083.604166206111</v>
      </c>
      <c r="D12" s="422">
        <f>D10-D11</f>
        <v>1192.2454577067342</v>
      </c>
      <c r="E12" s="422">
        <f>E10-E11</f>
        <v>780.55163609526426</v>
      </c>
      <c r="F12" s="417" t="s">
        <v>38</v>
      </c>
      <c r="G12" s="417" t="s">
        <v>9</v>
      </c>
      <c r="H12" s="417" t="s">
        <v>62</v>
      </c>
      <c r="I12" s="417" t="s">
        <v>63</v>
      </c>
    </row>
    <row r="13" spans="2:9">
      <c r="B13" s="397" t="s">
        <v>64</v>
      </c>
      <c r="C13" s="397"/>
      <c r="D13" s="397"/>
      <c r="E13" s="397"/>
      <c r="F13" s="452" t="s">
        <v>92</v>
      </c>
      <c r="G13" s="453"/>
      <c r="H13" s="452"/>
      <c r="I13" s="452"/>
    </row>
    <row r="14" spans="2:9">
      <c r="B14" s="397" t="str">
        <f>B10</f>
        <v>annuités</v>
      </c>
      <c r="C14" s="422">
        <f>C10</f>
        <v>36583.604166206111</v>
      </c>
      <c r="D14" s="422">
        <f>D10</f>
        <v>4613.6137231574648</v>
      </c>
      <c r="E14" s="422">
        <f>E10</f>
        <v>5941.7581279242713</v>
      </c>
      <c r="F14" s="454"/>
      <c r="G14" s="397">
        <f>C16</f>
        <v>24377.200155332812</v>
      </c>
      <c r="H14" s="422">
        <f>C15</f>
        <v>12206.404010873299</v>
      </c>
      <c r="I14" s="456">
        <f>C17-G14</f>
        <v>150000.00000000003</v>
      </c>
    </row>
    <row r="15" spans="2:9">
      <c r="B15" s="397" t="str">
        <f>B11</f>
        <v>Intérets sur emprunts</v>
      </c>
      <c r="C15" s="422">
        <f>C14-C16</f>
        <v>12206.404010873299</v>
      </c>
      <c r="D15" s="422">
        <f>D14-D16</f>
        <v>3447.9558967549169</v>
      </c>
      <c r="E15" s="422">
        <f>E14-E16</f>
        <v>5187.1703797266873</v>
      </c>
      <c r="F15" s="397"/>
      <c r="G15" s="397"/>
      <c r="H15" s="397"/>
      <c r="I15" s="397"/>
    </row>
    <row r="16" spans="2:9">
      <c r="B16" s="397" t="str">
        <f>B12</f>
        <v>Amortissement</v>
      </c>
      <c r="C16" s="397">
        <f>C12*(1+C9)^(F14-1)</f>
        <v>24377.200155332812</v>
      </c>
      <c r="D16" s="397">
        <f>D12*(1+D9)^(F14-1)</f>
        <v>1165.6578264025479</v>
      </c>
      <c r="E16" s="397">
        <f>E12*(1+E9)^(F14-1)</f>
        <v>754.58774819758423</v>
      </c>
      <c r="F16" s="455" t="s">
        <v>65</v>
      </c>
      <c r="G16" s="455" t="s">
        <v>66</v>
      </c>
      <c r="H16" s="455"/>
      <c r="I16" s="455"/>
    </row>
    <row r="17" spans="2:9">
      <c r="B17" s="397" t="s">
        <v>67</v>
      </c>
      <c r="C17" s="456">
        <f>C15/(C9)</f>
        <v>174377.20015533283</v>
      </c>
      <c r="D17" s="456">
        <f>D15/D9</f>
        <v>151165.65782640254</v>
      </c>
      <c r="E17" s="456">
        <f>E15/E9</f>
        <v>150754.58774819761</v>
      </c>
      <c r="F17" s="457">
        <f>G17+H17</f>
        <v>36583.604166206111</v>
      </c>
      <c r="G17" s="455">
        <f>G14</f>
        <v>24377.200155332812</v>
      </c>
      <c r="H17" s="449">
        <f>H14</f>
        <v>12206.404010873299</v>
      </c>
      <c r="I17" s="502">
        <f>I14</f>
        <v>150000.00000000003</v>
      </c>
    </row>
    <row r="18" spans="2:9">
      <c r="B18" s="492"/>
      <c r="C18" s="492"/>
      <c r="D18" s="492"/>
      <c r="E18" s="492"/>
      <c r="F18" s="492"/>
      <c r="G18" s="492"/>
      <c r="H18" s="492"/>
      <c r="I18" s="492"/>
    </row>
    <row r="19" spans="2:9">
      <c r="B19" s="493">
        <v>520</v>
      </c>
      <c r="C19" s="494" t="s">
        <v>170</v>
      </c>
      <c r="D19" s="374"/>
      <c r="E19" s="451"/>
      <c r="F19" s="451"/>
      <c r="G19" s="451">
        <f>C4</f>
        <v>150000</v>
      </c>
      <c r="H19" s="451"/>
      <c r="I19" s="451"/>
    </row>
    <row r="20" spans="2:9">
      <c r="B20" s="418"/>
      <c r="C20" s="495">
        <v>162</v>
      </c>
      <c r="D20" s="496" t="s">
        <v>275</v>
      </c>
      <c r="E20" s="397"/>
      <c r="F20" s="397"/>
      <c r="G20" s="397"/>
      <c r="H20" s="451">
        <f>G19</f>
        <v>150000</v>
      </c>
      <c r="I20" s="397"/>
    </row>
    <row r="21" spans="2:9">
      <c r="B21" s="397" t="s">
        <v>68</v>
      </c>
      <c r="C21" s="451"/>
      <c r="D21" s="397"/>
      <c r="E21" s="397"/>
      <c r="F21" s="397"/>
      <c r="G21" s="397"/>
      <c r="H21" s="397"/>
      <c r="I21" s="397"/>
    </row>
    <row r="22" spans="2:9">
      <c r="B22" s="493">
        <v>6710</v>
      </c>
      <c r="C22" s="497" t="s">
        <v>413</v>
      </c>
      <c r="D22" s="374"/>
      <c r="E22" s="397"/>
      <c r="F22" s="397"/>
      <c r="G22" s="422">
        <f>H17</f>
        <v>12206.404010873299</v>
      </c>
      <c r="H22" s="397"/>
      <c r="I22" s="397"/>
    </row>
    <row r="23" spans="2:9">
      <c r="B23" s="495">
        <v>162</v>
      </c>
      <c r="C23" s="496" t="s">
        <v>275</v>
      </c>
      <c r="D23" s="374"/>
      <c r="E23" s="397"/>
      <c r="F23" s="397"/>
      <c r="G23" s="397">
        <f>G17</f>
        <v>24377.200155332812</v>
      </c>
      <c r="H23" s="397"/>
      <c r="I23" s="397"/>
    </row>
    <row r="24" spans="2:9">
      <c r="B24" s="397"/>
      <c r="C24" s="493">
        <v>520</v>
      </c>
      <c r="D24" s="494" t="s">
        <v>170</v>
      </c>
      <c r="E24" s="451"/>
      <c r="F24" s="397"/>
      <c r="G24" s="397"/>
      <c r="H24" s="422">
        <f>C14</f>
        <v>36583.604166206111</v>
      </c>
      <c r="I24" s="397"/>
    </row>
    <row r="25" spans="2:9" ht="13.5" thickBot="1"/>
    <row r="26" spans="2:9" ht="13.5" thickBot="1">
      <c r="B26" s="458" t="s">
        <v>69</v>
      </c>
      <c r="C26" s="459"/>
      <c r="D26" s="459"/>
      <c r="E26" s="459"/>
      <c r="F26" s="459"/>
      <c r="G26" s="460"/>
      <c r="H26" s="461"/>
      <c r="I26" s="462"/>
    </row>
    <row r="27" spans="2:9">
      <c r="B27" s="463" t="s">
        <v>28</v>
      </c>
      <c r="C27" s="464">
        <f>C4</f>
        <v>150000</v>
      </c>
      <c r="D27" s="464"/>
      <c r="E27" s="464"/>
      <c r="F27" s="464"/>
      <c r="G27" s="464"/>
      <c r="H27" s="464"/>
      <c r="I27" s="465"/>
    </row>
    <row r="28" spans="2:9">
      <c r="B28" s="466" t="s">
        <v>70</v>
      </c>
      <c r="C28" s="467">
        <f>C5</f>
        <v>7.0000000000000007E-2</v>
      </c>
      <c r="D28" s="467"/>
      <c r="E28" s="467"/>
      <c r="F28" s="467"/>
      <c r="G28" s="467"/>
      <c r="H28" s="467"/>
      <c r="I28" s="468"/>
    </row>
    <row r="29" spans="2:9">
      <c r="B29" s="466" t="s">
        <v>31</v>
      </c>
      <c r="C29" s="467">
        <f>C7</f>
        <v>5</v>
      </c>
      <c r="D29" s="467"/>
      <c r="E29" s="467"/>
      <c r="F29" s="467"/>
      <c r="G29" s="467"/>
      <c r="H29" s="467"/>
      <c r="I29" s="468"/>
    </row>
    <row r="30" spans="2:9">
      <c r="B30" s="466" t="s">
        <v>71</v>
      </c>
      <c r="C30" s="467">
        <v>365</v>
      </c>
      <c r="D30" s="467"/>
      <c r="E30" s="467">
        <v>365</v>
      </c>
      <c r="F30" s="467"/>
      <c r="G30" s="467">
        <f>E30-C30</f>
        <v>0</v>
      </c>
      <c r="H30" s="467"/>
      <c r="I30" s="468">
        <f>G30/360</f>
        <v>0</v>
      </c>
    </row>
    <row r="31" spans="2:9">
      <c r="B31" s="466" t="s">
        <v>34</v>
      </c>
      <c r="C31" s="467">
        <f>-PMT(C28,C29,C27)</f>
        <v>36583.604166206103</v>
      </c>
      <c r="D31" s="467"/>
      <c r="E31" s="467"/>
      <c r="F31" s="467"/>
      <c r="G31" s="467"/>
      <c r="H31" s="467"/>
      <c r="I31" s="468"/>
    </row>
    <row r="32" spans="2:9">
      <c r="B32" s="466" t="s">
        <v>38</v>
      </c>
      <c r="C32" s="467" t="s">
        <v>72</v>
      </c>
      <c r="D32" s="467"/>
      <c r="E32" s="469" t="s">
        <v>73</v>
      </c>
      <c r="F32" s="467"/>
      <c r="G32" s="467" t="s">
        <v>74</v>
      </c>
      <c r="H32" s="467"/>
      <c r="I32" s="468" t="s">
        <v>41</v>
      </c>
    </row>
    <row r="33" spans="2:9">
      <c r="B33" s="466">
        <v>1</v>
      </c>
      <c r="C33" s="467">
        <f>IF(B33&lt;=$C$29,C27*$C$28,"")</f>
        <v>10500.000000000002</v>
      </c>
      <c r="D33" s="467"/>
      <c r="E33" s="469">
        <f t="shared" ref="E33:E42" si="1">IF(B33&lt;=$C$29,$C$31,"")</f>
        <v>36583.604166206103</v>
      </c>
      <c r="F33" s="467" t="str">
        <f>IF(C33&lt;=D29,$C$27,"")</f>
        <v/>
      </c>
      <c r="G33" s="467">
        <f t="shared" ref="G33:G42" si="2">IF(B33&lt;=$C$29,E33-C33,"")</f>
        <v>26083.604166206103</v>
      </c>
      <c r="H33" s="467"/>
      <c r="I33" s="468">
        <f>IF(B33&lt;=$C$29,C27-G33,"")</f>
        <v>123916.3958337939</v>
      </c>
    </row>
    <row r="34" spans="2:9">
      <c r="B34" s="466">
        <v>2</v>
      </c>
      <c r="C34" s="467">
        <f t="shared" ref="C34:C42" si="3">IF(B34&lt;=$C$29,I33*$C$28,"")</f>
        <v>8674.1477083655736</v>
      </c>
      <c r="D34" s="467"/>
      <c r="E34" s="469">
        <f t="shared" si="1"/>
        <v>36583.604166206103</v>
      </c>
      <c r="F34" s="467"/>
      <c r="G34" s="467">
        <f t="shared" si="2"/>
        <v>27909.45645784053</v>
      </c>
      <c r="H34" s="467"/>
      <c r="I34" s="468">
        <f t="shared" ref="I34:I42" si="4">IF(B34&lt;=$C$29,I33-G34,"")</f>
        <v>96006.93937595337</v>
      </c>
    </row>
    <row r="35" spans="2:9">
      <c r="B35" s="466">
        <v>3</v>
      </c>
      <c r="C35" s="467">
        <f t="shared" si="3"/>
        <v>6720.485756316737</v>
      </c>
      <c r="D35" s="467"/>
      <c r="E35" s="469">
        <f t="shared" si="1"/>
        <v>36583.604166206103</v>
      </c>
      <c r="F35" s="467"/>
      <c r="G35" s="467">
        <f t="shared" si="2"/>
        <v>29863.118409889365</v>
      </c>
      <c r="H35" s="467"/>
      <c r="I35" s="468">
        <f t="shared" si="4"/>
        <v>66143.820966063999</v>
      </c>
    </row>
    <row r="36" spans="2:9">
      <c r="B36" s="466">
        <v>4</v>
      </c>
      <c r="C36" s="467">
        <f t="shared" si="3"/>
        <v>4630.0674676244807</v>
      </c>
      <c r="D36" s="467"/>
      <c r="E36" s="469">
        <f t="shared" si="1"/>
        <v>36583.604166206103</v>
      </c>
      <c r="F36" s="467"/>
      <c r="G36" s="467">
        <f t="shared" si="2"/>
        <v>31953.536698581622</v>
      </c>
      <c r="H36" s="467"/>
      <c r="I36" s="468">
        <f t="shared" si="4"/>
        <v>34190.284267482377</v>
      </c>
    </row>
    <row r="37" spans="2:9">
      <c r="B37" s="466">
        <v>5</v>
      </c>
      <c r="C37" s="467">
        <f t="shared" si="3"/>
        <v>2393.3198987237665</v>
      </c>
      <c r="D37" s="467"/>
      <c r="E37" s="469">
        <f t="shared" si="1"/>
        <v>36583.604166206103</v>
      </c>
      <c r="F37" s="467"/>
      <c r="G37" s="467">
        <f t="shared" si="2"/>
        <v>34190.284267482333</v>
      </c>
      <c r="H37" s="467"/>
      <c r="I37" s="468">
        <f t="shared" si="4"/>
        <v>4.3655745685100555E-11</v>
      </c>
    </row>
    <row r="38" spans="2:9">
      <c r="B38" s="466">
        <v>6</v>
      </c>
      <c r="C38" s="467" t="str">
        <f t="shared" si="3"/>
        <v/>
      </c>
      <c r="D38" s="467"/>
      <c r="E38" s="469" t="str">
        <f t="shared" si="1"/>
        <v/>
      </c>
      <c r="F38" s="467"/>
      <c r="G38" s="467" t="str">
        <f t="shared" si="2"/>
        <v/>
      </c>
      <c r="H38" s="467"/>
      <c r="I38" s="468" t="str">
        <f t="shared" si="4"/>
        <v/>
      </c>
    </row>
    <row r="39" spans="2:9">
      <c r="B39" s="466">
        <v>7</v>
      </c>
      <c r="C39" s="467" t="str">
        <f t="shared" si="3"/>
        <v/>
      </c>
      <c r="D39" s="467"/>
      <c r="E39" s="469" t="str">
        <f t="shared" si="1"/>
        <v/>
      </c>
      <c r="F39" s="467"/>
      <c r="G39" s="467" t="str">
        <f t="shared" si="2"/>
        <v/>
      </c>
      <c r="H39" s="467"/>
      <c r="I39" s="468" t="str">
        <f t="shared" si="4"/>
        <v/>
      </c>
    </row>
    <row r="40" spans="2:9">
      <c r="B40" s="466">
        <v>8</v>
      </c>
      <c r="C40" s="467" t="str">
        <f t="shared" si="3"/>
        <v/>
      </c>
      <c r="D40" s="467"/>
      <c r="E40" s="469" t="str">
        <f t="shared" si="1"/>
        <v/>
      </c>
      <c r="F40" s="467"/>
      <c r="G40" s="467" t="str">
        <f t="shared" si="2"/>
        <v/>
      </c>
      <c r="H40" s="467"/>
      <c r="I40" s="468" t="str">
        <f t="shared" si="4"/>
        <v/>
      </c>
    </row>
    <row r="41" spans="2:9">
      <c r="B41" s="466">
        <v>9</v>
      </c>
      <c r="C41" s="467" t="str">
        <f t="shared" si="3"/>
        <v/>
      </c>
      <c r="D41" s="467"/>
      <c r="E41" s="469" t="str">
        <f t="shared" si="1"/>
        <v/>
      </c>
      <c r="F41" s="467"/>
      <c r="G41" s="467" t="str">
        <f t="shared" si="2"/>
        <v/>
      </c>
      <c r="H41" s="467"/>
      <c r="I41" s="468" t="str">
        <f t="shared" si="4"/>
        <v/>
      </c>
    </row>
    <row r="42" spans="2:9">
      <c r="B42" s="466">
        <v>10</v>
      </c>
      <c r="C42" s="467" t="str">
        <f t="shared" si="3"/>
        <v/>
      </c>
      <c r="D42" s="467"/>
      <c r="E42" s="469" t="str">
        <f t="shared" si="1"/>
        <v/>
      </c>
      <c r="F42" s="467"/>
      <c r="G42" s="467" t="str">
        <f t="shared" si="2"/>
        <v/>
      </c>
      <c r="H42" s="467"/>
      <c r="I42" s="468" t="str">
        <f t="shared" si="4"/>
        <v/>
      </c>
    </row>
    <row r="43" spans="2:9">
      <c r="B43" s="470" t="s">
        <v>75</v>
      </c>
      <c r="C43" s="471">
        <f>SUM(C33:C42)</f>
        <v>32918.020831030561</v>
      </c>
      <c r="D43" s="467"/>
      <c r="E43" s="472">
        <f>SUM(E33:E42)</f>
        <v>182918.0208310305</v>
      </c>
      <c r="F43" s="467"/>
      <c r="G43" s="471">
        <f>SUM(G33:G42)</f>
        <v>149999.99999999994</v>
      </c>
      <c r="H43" s="467"/>
      <c r="I43" s="473">
        <f>-C27+SUM(I33:I42)</f>
        <v>170257.44044329372</v>
      </c>
    </row>
    <row r="44" spans="2:9" ht="13.5" thickBot="1">
      <c r="B44" s="474" t="str">
        <f>IF(G43=C4,"le tableau classique de verifification de l'amortissement financier à annuité constante est juste","erreur de donnée d'amortissement, revérifier les données introduites")</f>
        <v>le tableau classique de verifification de l'amortissement financier à annuité constante est juste</v>
      </c>
      <c r="C44" s="475"/>
      <c r="D44" s="475"/>
      <c r="E44" s="475"/>
      <c r="F44" s="475"/>
      <c r="G44" s="475"/>
      <c r="H44" s="475"/>
      <c r="I44" s="476"/>
    </row>
    <row r="46" spans="2:9" ht="13.5" thickBot="1"/>
    <row r="47" spans="2:9" ht="13.5" thickBot="1">
      <c r="B47" s="458" t="s">
        <v>76</v>
      </c>
      <c r="C47" s="461"/>
      <c r="D47" s="461"/>
      <c r="E47" s="461"/>
      <c r="F47" s="461"/>
      <c r="G47" s="461"/>
      <c r="H47" s="461"/>
      <c r="I47" s="462"/>
    </row>
    <row r="48" spans="2:9">
      <c r="B48" s="477"/>
      <c r="C48" s="478"/>
      <c r="D48" s="478"/>
      <c r="E48" s="478"/>
      <c r="F48" s="478"/>
      <c r="G48" s="479"/>
      <c r="H48" s="479"/>
      <c r="I48" s="480"/>
    </row>
    <row r="49" spans="2:9">
      <c r="B49" s="424" t="s">
        <v>28</v>
      </c>
      <c r="C49" s="481">
        <v>20000</v>
      </c>
      <c r="D49" s="417"/>
      <c r="E49" s="417"/>
      <c r="F49" s="417"/>
      <c r="G49" s="397"/>
      <c r="H49" s="397"/>
      <c r="I49" s="450"/>
    </row>
    <row r="50" spans="2:9">
      <c r="B50" s="424" t="s">
        <v>30</v>
      </c>
      <c r="C50" s="378">
        <v>7.0000000000000007E-2</v>
      </c>
      <c r="D50" s="417"/>
      <c r="E50" s="417"/>
      <c r="F50" s="417"/>
      <c r="G50" s="397"/>
      <c r="H50" s="397"/>
      <c r="I50" s="450"/>
    </row>
    <row r="51" spans="2:9">
      <c r="B51" s="424" t="s">
        <v>31</v>
      </c>
      <c r="C51" s="481">
        <v>10</v>
      </c>
      <c r="D51" s="417">
        <f>(C51*(1+C51))/2</f>
        <v>55</v>
      </c>
      <c r="E51" s="417"/>
      <c r="F51" s="417">
        <f>C49/D51</f>
        <v>363.63636363636363</v>
      </c>
      <c r="G51" s="397"/>
      <c r="H51" s="397"/>
      <c r="I51" s="450"/>
    </row>
    <row r="52" spans="2:9">
      <c r="B52" s="424" t="s">
        <v>71</v>
      </c>
      <c r="C52" s="417">
        <v>365</v>
      </c>
      <c r="D52" s="417">
        <v>365</v>
      </c>
      <c r="E52" s="417">
        <f>D52-C52</f>
        <v>0</v>
      </c>
      <c r="F52" s="417">
        <f>C53*(E52/360)</f>
        <v>0</v>
      </c>
      <c r="G52" s="397"/>
      <c r="H52" s="397"/>
      <c r="I52" s="450"/>
    </row>
    <row r="53" spans="2:9">
      <c r="B53" s="482" t="s">
        <v>34</v>
      </c>
      <c r="C53" s="483">
        <f>SLN(C49,,C51)</f>
        <v>2000</v>
      </c>
      <c r="D53" s="484"/>
      <c r="E53" s="484"/>
      <c r="F53" s="484"/>
      <c r="G53" s="485"/>
      <c r="H53" s="486" t="s">
        <v>37</v>
      </c>
      <c r="I53" s="487"/>
    </row>
    <row r="54" spans="2:9">
      <c r="B54" s="482" t="s">
        <v>38</v>
      </c>
      <c r="C54" s="483" t="s">
        <v>77</v>
      </c>
      <c r="D54" s="484" t="s">
        <v>10</v>
      </c>
      <c r="E54" s="484" t="s">
        <v>78</v>
      </c>
      <c r="F54" s="484" t="s">
        <v>63</v>
      </c>
      <c r="G54" s="485"/>
      <c r="H54" s="485" t="s">
        <v>79</v>
      </c>
      <c r="I54" s="488" t="s">
        <v>41</v>
      </c>
    </row>
    <row r="55" spans="2:9">
      <c r="B55" s="482">
        <v>1</v>
      </c>
      <c r="C55" s="483">
        <f>C53-F52</f>
        <v>2000</v>
      </c>
      <c r="D55" s="484">
        <f>C49*C50</f>
        <v>1400.0000000000002</v>
      </c>
      <c r="E55" s="484">
        <f>C55+D55</f>
        <v>3400</v>
      </c>
      <c r="F55" s="484">
        <f>IF(E55="","",C49-C53)</f>
        <v>18000</v>
      </c>
      <c r="G55" s="485"/>
      <c r="H55" s="485">
        <f>IF(B55&lt;=C51,F51,"")</f>
        <v>363.63636363636363</v>
      </c>
      <c r="I55" s="488">
        <f>IF(H55="","",C49-H55)</f>
        <v>19636.363636363636</v>
      </c>
    </row>
    <row r="56" spans="2:9">
      <c r="B56" s="482">
        <v>2</v>
      </c>
      <c r="C56" s="483">
        <f t="shared" ref="C56:C64" si="5">IF(B56&lt;=$C$51,$C$53,"")</f>
        <v>2000</v>
      </c>
      <c r="D56" s="484">
        <f t="shared" ref="D56:D64" si="6">IF(C56="","",F55*$C$50)</f>
        <v>1260.0000000000002</v>
      </c>
      <c r="E56" s="484">
        <f>IF(D56="","",C56+D56)</f>
        <v>3260</v>
      </c>
      <c r="F56" s="484">
        <f>IF(E56="","",F55-C56)</f>
        <v>16000</v>
      </c>
      <c r="G56" s="485"/>
      <c r="H56" s="485">
        <f t="shared" ref="H56:H64" si="7">IF(B56&lt;=C$51,H55+$F$51,"")</f>
        <v>727.27272727272725</v>
      </c>
      <c r="I56" s="488">
        <f>IF(H56="","",I55-H56)</f>
        <v>18909.090909090908</v>
      </c>
    </row>
    <row r="57" spans="2:9">
      <c r="B57" s="482">
        <v>3</v>
      </c>
      <c r="C57" s="483">
        <f t="shared" si="5"/>
        <v>2000</v>
      </c>
      <c r="D57" s="484">
        <f t="shared" si="6"/>
        <v>1120</v>
      </c>
      <c r="E57" s="484">
        <f t="shared" ref="E57:E64" si="8">IF(D57="","",C57+D57)</f>
        <v>3120</v>
      </c>
      <c r="F57" s="484">
        <f t="shared" ref="F57:F64" si="9">IF(E57="","",F56-C57)</f>
        <v>14000</v>
      </c>
      <c r="G57" s="485"/>
      <c r="H57" s="485">
        <f t="shared" si="7"/>
        <v>1090.909090909091</v>
      </c>
      <c r="I57" s="488">
        <f t="shared" ref="I57:I64" si="10">IF(H57="","",I56-H57)</f>
        <v>17818.181818181816</v>
      </c>
    </row>
    <row r="58" spans="2:9">
      <c r="B58" s="482">
        <v>4</v>
      </c>
      <c r="C58" s="483">
        <f t="shared" si="5"/>
        <v>2000</v>
      </c>
      <c r="D58" s="484">
        <f t="shared" si="6"/>
        <v>980.00000000000011</v>
      </c>
      <c r="E58" s="484">
        <f t="shared" si="8"/>
        <v>2980</v>
      </c>
      <c r="F58" s="484">
        <f t="shared" si="9"/>
        <v>12000</v>
      </c>
      <c r="G58" s="485"/>
      <c r="H58" s="485">
        <f t="shared" si="7"/>
        <v>1454.5454545454545</v>
      </c>
      <c r="I58" s="488">
        <f t="shared" si="10"/>
        <v>16363.636363636362</v>
      </c>
    </row>
    <row r="59" spans="2:9">
      <c r="B59" s="482">
        <v>5</v>
      </c>
      <c r="C59" s="483">
        <f t="shared" si="5"/>
        <v>2000</v>
      </c>
      <c r="D59" s="484">
        <f t="shared" si="6"/>
        <v>840.00000000000011</v>
      </c>
      <c r="E59" s="484">
        <f t="shared" si="8"/>
        <v>2840</v>
      </c>
      <c r="F59" s="484">
        <f t="shared" si="9"/>
        <v>10000</v>
      </c>
      <c r="G59" s="485"/>
      <c r="H59" s="485">
        <f t="shared" si="7"/>
        <v>1818.181818181818</v>
      </c>
      <c r="I59" s="488">
        <f t="shared" si="10"/>
        <v>14545.454545454544</v>
      </c>
    </row>
    <row r="60" spans="2:9">
      <c r="B60" s="482">
        <v>6</v>
      </c>
      <c r="C60" s="483">
        <f t="shared" si="5"/>
        <v>2000</v>
      </c>
      <c r="D60" s="484">
        <f t="shared" si="6"/>
        <v>700.00000000000011</v>
      </c>
      <c r="E60" s="484">
        <f t="shared" si="8"/>
        <v>2700</v>
      </c>
      <c r="F60" s="484">
        <f t="shared" si="9"/>
        <v>8000</v>
      </c>
      <c r="G60" s="485"/>
      <c r="H60" s="485">
        <f t="shared" si="7"/>
        <v>2181.8181818181815</v>
      </c>
      <c r="I60" s="488">
        <f t="shared" si="10"/>
        <v>12363.636363636362</v>
      </c>
    </row>
    <row r="61" spans="2:9">
      <c r="B61" s="482">
        <v>7</v>
      </c>
      <c r="C61" s="483">
        <f t="shared" si="5"/>
        <v>2000</v>
      </c>
      <c r="D61" s="484">
        <f t="shared" si="6"/>
        <v>560</v>
      </c>
      <c r="E61" s="484">
        <f t="shared" si="8"/>
        <v>2560</v>
      </c>
      <c r="F61" s="484">
        <f t="shared" si="9"/>
        <v>6000</v>
      </c>
      <c r="G61" s="485"/>
      <c r="H61" s="485">
        <f t="shared" si="7"/>
        <v>2545.454545454545</v>
      </c>
      <c r="I61" s="488">
        <f t="shared" si="10"/>
        <v>9818.1818181818162</v>
      </c>
    </row>
    <row r="62" spans="2:9">
      <c r="B62" s="482">
        <v>8</v>
      </c>
      <c r="C62" s="483">
        <f t="shared" si="5"/>
        <v>2000</v>
      </c>
      <c r="D62" s="484">
        <f t="shared" si="6"/>
        <v>420.00000000000006</v>
      </c>
      <c r="E62" s="484">
        <f t="shared" si="8"/>
        <v>2420</v>
      </c>
      <c r="F62" s="484">
        <f t="shared" si="9"/>
        <v>4000</v>
      </c>
      <c r="G62" s="485"/>
      <c r="H62" s="485">
        <f t="shared" si="7"/>
        <v>2909.0909090909086</v>
      </c>
      <c r="I62" s="488">
        <f t="shared" si="10"/>
        <v>6909.0909090909081</v>
      </c>
    </row>
    <row r="63" spans="2:9">
      <c r="B63" s="482">
        <v>9</v>
      </c>
      <c r="C63" s="483">
        <f t="shared" si="5"/>
        <v>2000</v>
      </c>
      <c r="D63" s="484">
        <f t="shared" si="6"/>
        <v>280</v>
      </c>
      <c r="E63" s="484">
        <f t="shared" si="8"/>
        <v>2280</v>
      </c>
      <c r="F63" s="484">
        <f t="shared" si="9"/>
        <v>2000</v>
      </c>
      <c r="G63" s="485"/>
      <c r="H63" s="485">
        <f t="shared" si="7"/>
        <v>3272.7272727272721</v>
      </c>
      <c r="I63" s="488">
        <f t="shared" si="10"/>
        <v>3636.363636363636</v>
      </c>
    </row>
    <row r="64" spans="2:9">
      <c r="B64" s="482">
        <v>10</v>
      </c>
      <c r="C64" s="483">
        <f t="shared" si="5"/>
        <v>2000</v>
      </c>
      <c r="D64" s="484">
        <f t="shared" si="6"/>
        <v>140</v>
      </c>
      <c r="E64" s="484">
        <f t="shared" si="8"/>
        <v>2140</v>
      </c>
      <c r="F64" s="484">
        <f t="shared" si="9"/>
        <v>0</v>
      </c>
      <c r="G64" s="485"/>
      <c r="H64" s="485">
        <f t="shared" si="7"/>
        <v>3636.3636363636356</v>
      </c>
      <c r="I64" s="488">
        <f t="shared" si="10"/>
        <v>4.5474735088646412E-13</v>
      </c>
    </row>
    <row r="65" spans="2:9">
      <c r="B65" s="489" t="s">
        <v>43</v>
      </c>
      <c r="C65" s="483">
        <f>SUM(C55:C64)</f>
        <v>20000</v>
      </c>
      <c r="D65" s="490">
        <f>SUM(D55:D64)</f>
        <v>7700.0000000000009</v>
      </c>
      <c r="E65" s="490">
        <f>SUM(E55:E64)</f>
        <v>27700</v>
      </c>
      <c r="F65" s="490">
        <f>C49-C65</f>
        <v>0</v>
      </c>
      <c r="G65" s="485">
        <f>SUM(G55:G64)</f>
        <v>0</v>
      </c>
      <c r="H65" s="491">
        <f>SUM(H55:H64)</f>
        <v>19999.999999999996</v>
      </c>
      <c r="I65" s="488">
        <f>C49-H65</f>
        <v>0</v>
      </c>
    </row>
    <row r="66" spans="2:9">
      <c r="B66" s="374" t="s">
        <v>80</v>
      </c>
      <c r="C66" s="374" t="s">
        <v>81</v>
      </c>
      <c r="D66" s="374" t="s">
        <v>82</v>
      </c>
      <c r="E66" s="374"/>
      <c r="F66" s="374" t="s">
        <v>83</v>
      </c>
      <c r="G66" s="374" t="s">
        <v>84</v>
      </c>
      <c r="H66" s="374" t="s">
        <v>85</v>
      </c>
      <c r="I66" s="374"/>
    </row>
    <row r="67" spans="2:9">
      <c r="B67" s="493">
        <v>520</v>
      </c>
      <c r="C67" s="494" t="s">
        <v>170</v>
      </c>
      <c r="D67" s="374"/>
      <c r="E67" s="374"/>
      <c r="F67" s="374"/>
      <c r="G67" s="374">
        <f>C49</f>
        <v>20000</v>
      </c>
      <c r="H67" s="374"/>
      <c r="I67" s="374"/>
    </row>
    <row r="68" spans="2:9">
      <c r="B68" s="374"/>
      <c r="C68" s="495">
        <v>162</v>
      </c>
      <c r="D68" s="496" t="s">
        <v>275</v>
      </c>
      <c r="E68" s="374"/>
      <c r="F68" s="374"/>
      <c r="G68" s="374"/>
      <c r="H68" s="374">
        <f>G67</f>
        <v>20000</v>
      </c>
      <c r="I68" s="374"/>
    </row>
    <row r="69" spans="2:9">
      <c r="B69" s="374" t="s">
        <v>68</v>
      </c>
      <c r="C69" s="374"/>
      <c r="D69" s="374"/>
      <c r="E69" s="374"/>
      <c r="F69" s="374"/>
      <c r="G69" s="374"/>
      <c r="H69" s="374"/>
      <c r="I69" s="374"/>
    </row>
    <row r="70" spans="2:9">
      <c r="B70" s="374" t="s">
        <v>86</v>
      </c>
      <c r="C70" s="374"/>
      <c r="D70" s="493">
        <v>6710</v>
      </c>
      <c r="E70" s="497" t="s">
        <v>413</v>
      </c>
      <c r="F70" s="374"/>
      <c r="G70" s="374">
        <f>VLOOKUP(B71,B55:F64,3)</f>
        <v>1120</v>
      </c>
      <c r="H70" s="374"/>
      <c r="I70" s="374"/>
    </row>
    <row r="71" spans="2:9">
      <c r="B71" s="454">
        <v>3</v>
      </c>
      <c r="C71" s="374"/>
      <c r="D71" s="495">
        <v>162</v>
      </c>
      <c r="E71" s="496" t="s">
        <v>275</v>
      </c>
      <c r="F71" s="374"/>
      <c r="G71" s="374">
        <f>VLOOKUP(B71,B55:F64,2)</f>
        <v>2000</v>
      </c>
      <c r="H71" s="374"/>
      <c r="I71" s="374"/>
    </row>
    <row r="72" spans="2:9">
      <c r="B72" s="374"/>
      <c r="C72" s="374"/>
      <c r="D72" s="493">
        <v>520</v>
      </c>
      <c r="E72" s="494" t="s">
        <v>170</v>
      </c>
      <c r="F72" s="374"/>
      <c r="G72" s="374"/>
      <c r="H72" s="374"/>
      <c r="I72" s="374">
        <f>SUM(G70:G71)</f>
        <v>3120</v>
      </c>
    </row>
  </sheetData>
  <sheetProtection password="8904" sheet="1" objects="1" scenarios="1" selectLockedCells="1"/>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sheetPr codeName="Feuil8"/>
  <dimension ref="B2:G61"/>
  <sheetViews>
    <sheetView workbookViewId="0">
      <selection activeCell="G7" sqref="G7"/>
    </sheetView>
  </sheetViews>
  <sheetFormatPr baseColWidth="10" defaultRowHeight="16.5"/>
  <cols>
    <col min="1" max="1" width="3.7109375" style="9" customWidth="1"/>
    <col min="2" max="2" width="23.85546875" style="9" customWidth="1"/>
    <col min="3" max="3" width="11.42578125" style="9"/>
    <col min="4" max="4" width="28" style="9" customWidth="1"/>
    <col min="5" max="5" width="12" style="9" customWidth="1"/>
    <col min="6" max="6" width="23" style="9" customWidth="1"/>
    <col min="7" max="7" width="33.85546875" style="9" customWidth="1"/>
    <col min="8" max="16384" width="11.42578125" style="9"/>
  </cols>
  <sheetData>
    <row r="2" spans="2:7">
      <c r="B2" s="1689" t="s">
        <v>93</v>
      </c>
      <c r="C2" s="1689"/>
      <c r="D2" s="1689"/>
      <c r="E2" s="1689"/>
      <c r="F2" s="1689"/>
    </row>
    <row r="3" spans="2:7">
      <c r="B3" s="1690"/>
      <c r="C3" s="1690"/>
      <c r="D3" s="1690"/>
    </row>
    <row r="4" spans="2:7" ht="17.25" thickBot="1">
      <c r="B4" s="10" t="s">
        <v>94</v>
      </c>
      <c r="C4" s="10"/>
      <c r="D4" s="10"/>
      <c r="F4" s="11" t="s">
        <v>95</v>
      </c>
      <c r="G4" s="11"/>
    </row>
    <row r="5" spans="2:7">
      <c r="B5" s="12" t="s">
        <v>96</v>
      </c>
      <c r="C5" s="13"/>
      <c r="D5" s="14"/>
      <c r="F5" s="12" t="s">
        <v>97</v>
      </c>
      <c r="G5" s="13" t="s">
        <v>98</v>
      </c>
    </row>
    <row r="6" spans="2:7">
      <c r="B6" s="15" t="s">
        <v>97</v>
      </c>
      <c r="C6" s="1" t="s">
        <v>99</v>
      </c>
      <c r="D6" s="16" t="s">
        <v>100</v>
      </c>
      <c r="F6" s="15" t="s">
        <v>101</v>
      </c>
      <c r="G6" s="1114">
        <v>50000</v>
      </c>
    </row>
    <row r="7" spans="2:7">
      <c r="B7" s="15" t="s">
        <v>102</v>
      </c>
      <c r="C7" s="1112">
        <v>5000</v>
      </c>
      <c r="D7" s="46">
        <f>C10</f>
        <v>4528.6540491495798</v>
      </c>
      <c r="F7" s="15" t="s">
        <v>103</v>
      </c>
      <c r="G7" s="1113">
        <v>0.03</v>
      </c>
    </row>
    <row r="8" spans="2:7">
      <c r="B8" s="15" t="s">
        <v>104</v>
      </c>
      <c r="C8" s="1113">
        <v>0.02</v>
      </c>
      <c r="D8" s="16">
        <f>C8</f>
        <v>0.02</v>
      </c>
      <c r="F8" s="15" t="s">
        <v>105</v>
      </c>
      <c r="G8" s="1112">
        <v>3</v>
      </c>
    </row>
    <row r="9" spans="2:7">
      <c r="B9" s="15" t="s">
        <v>105</v>
      </c>
      <c r="C9" s="1112">
        <v>5</v>
      </c>
      <c r="D9" s="16">
        <f>C9</f>
        <v>5</v>
      </c>
      <c r="F9" s="15" t="s">
        <v>106</v>
      </c>
      <c r="G9" s="45">
        <f>-FV(G7,G8,,G6)</f>
        <v>54636.35</v>
      </c>
    </row>
    <row r="10" spans="2:7">
      <c r="B10" s="15" t="s">
        <v>107</v>
      </c>
      <c r="C10" s="45">
        <f>C7*(1+C8)^-C9</f>
        <v>4528.6540491495798</v>
      </c>
      <c r="D10" s="17">
        <f>-FV(D8,D9,,D7)</f>
        <v>5000</v>
      </c>
      <c r="F10" s="15" t="s">
        <v>108</v>
      </c>
      <c r="G10" s="19">
        <f>G9-G6</f>
        <v>4636.3499999999985</v>
      </c>
    </row>
    <row r="11" spans="2:7" ht="17.25" thickBot="1">
      <c r="B11" s="20" t="str">
        <f>" le montant actuelle de "&amp;C7&amp;" vaudra dans  "&amp;C9 &amp;"  ans  "&amp;C10&amp;" :"</f>
        <v xml:space="preserve"> le montant actuelle de 5000 vaudra dans  5  ans  4528.65404914958 :</v>
      </c>
      <c r="C11" s="21"/>
      <c r="D11" s="22"/>
      <c r="F11" s="20" t="str">
        <f>" Valeur capitalisé est  "&amp;G9&amp;" "</f>
        <v xml:space="preserve"> Valeur capitalisé est  54636.35 </v>
      </c>
      <c r="G11" s="23"/>
    </row>
    <row r="12" spans="2:7">
      <c r="F12" s="24"/>
      <c r="G12" s="24"/>
    </row>
    <row r="13" spans="2:7" ht="17.25" thickBot="1">
      <c r="B13" s="11" t="s">
        <v>109</v>
      </c>
      <c r="C13" s="11"/>
      <c r="D13" s="11"/>
      <c r="F13" s="11" t="s">
        <v>110</v>
      </c>
      <c r="G13" s="11"/>
    </row>
    <row r="14" spans="2:7">
      <c r="B14" s="12" t="s">
        <v>109</v>
      </c>
      <c r="C14" s="13"/>
      <c r="D14" s="14"/>
      <c r="F14" s="25" t="s">
        <v>111</v>
      </c>
      <c r="G14" s="1115">
        <v>10000</v>
      </c>
    </row>
    <row r="15" spans="2:7">
      <c r="B15" s="26" t="s">
        <v>112</v>
      </c>
      <c r="C15" s="18" t="s">
        <v>113</v>
      </c>
      <c r="D15" s="17" t="s">
        <v>114</v>
      </c>
      <c r="F15" s="27" t="s">
        <v>115</v>
      </c>
      <c r="G15" s="1116">
        <v>0.02</v>
      </c>
    </row>
    <row r="16" spans="2:7">
      <c r="B16" s="15" t="s">
        <v>116</v>
      </c>
      <c r="C16" s="1112">
        <v>5000</v>
      </c>
      <c r="D16" s="16">
        <f>C16</f>
        <v>5000</v>
      </c>
      <c r="F16" s="27" t="s">
        <v>117</v>
      </c>
      <c r="G16" s="47">
        <f>(LN(G17/G14))/(LN(1+G15))</f>
        <v>151.27953623264523</v>
      </c>
    </row>
    <row r="17" spans="2:7" ht="17.25" thickBot="1">
      <c r="B17" s="15" t="s">
        <v>103</v>
      </c>
      <c r="C17" s="45">
        <f>(C19/C16)^(1/C18)-1</f>
        <v>5.8000264435809967E-2</v>
      </c>
      <c r="D17" s="16">
        <f>C17</f>
        <v>5.8000264435809967E-2</v>
      </c>
      <c r="F17" s="28" t="s">
        <v>118</v>
      </c>
      <c r="G17" s="1117">
        <v>200000</v>
      </c>
    </row>
    <row r="18" spans="2:7" ht="17.25" thickBot="1">
      <c r="B18" s="15" t="s">
        <v>105</v>
      </c>
      <c r="C18" s="1112">
        <v>3</v>
      </c>
      <c r="D18" s="46">
        <f>LN(D19/D16)/LN(1+D17)</f>
        <v>3.0000000000000013</v>
      </c>
      <c r="F18" s="20" t="str">
        <f>" Nbre d'année  est  "&amp;G16&amp;" "</f>
        <v xml:space="preserve"> Nbre d'année  est  151.279536232645 </v>
      </c>
      <c r="G18" s="29"/>
    </row>
    <row r="19" spans="2:7">
      <c r="B19" s="15" t="s">
        <v>119</v>
      </c>
      <c r="C19" s="1112">
        <v>5921.44</v>
      </c>
      <c r="D19" s="16">
        <f>C19</f>
        <v>5921.44</v>
      </c>
    </row>
    <row r="20" spans="2:7" ht="17.25" thickBot="1">
      <c r="B20" s="20" t="str">
        <f>" le taux recherché est "&amp;C17&amp;":"</f>
        <v xml:space="preserve"> le taux recherché est 0.05800026443581:</v>
      </c>
      <c r="C20" s="21"/>
      <c r="D20" s="22" t="s">
        <v>120</v>
      </c>
    </row>
    <row r="21" spans="2:7" ht="17.25" thickBot="1">
      <c r="F21" s="11" t="s">
        <v>121</v>
      </c>
    </row>
    <row r="22" spans="2:7" ht="17.25" thickBot="1">
      <c r="B22" s="11" t="s">
        <v>122</v>
      </c>
      <c r="C22" s="11"/>
      <c r="D22" s="11"/>
      <c r="F22" s="30" t="s">
        <v>121</v>
      </c>
      <c r="G22" s="31"/>
    </row>
    <row r="23" spans="2:7">
      <c r="B23" s="32" t="s">
        <v>123</v>
      </c>
      <c r="C23" s="1118">
        <v>3000</v>
      </c>
      <c r="D23" s="1115">
        <f>C23</f>
        <v>3000</v>
      </c>
      <c r="F23" s="33" t="s">
        <v>124</v>
      </c>
      <c r="G23" s="1120">
        <v>2000</v>
      </c>
    </row>
    <row r="24" spans="2:7">
      <c r="B24" s="33" t="s">
        <v>125</v>
      </c>
      <c r="C24" s="1113">
        <v>4.9000000000000002E-2</v>
      </c>
      <c r="D24" s="1116">
        <f>C24</f>
        <v>4.9000000000000002E-2</v>
      </c>
      <c r="F24" s="33" t="s">
        <v>126</v>
      </c>
      <c r="G24" s="1116">
        <v>5.3999999999999999E-2</v>
      </c>
    </row>
    <row r="25" spans="2:7">
      <c r="B25" s="33" t="s">
        <v>60</v>
      </c>
      <c r="C25" s="1119">
        <v>10</v>
      </c>
      <c r="D25" s="1120">
        <v>11</v>
      </c>
      <c r="F25" s="33" t="s">
        <v>127</v>
      </c>
      <c r="G25" s="1116">
        <v>0.03</v>
      </c>
    </row>
    <row r="26" spans="2:7">
      <c r="B26" s="33" t="s">
        <v>128</v>
      </c>
      <c r="C26" s="19">
        <f>(C23*(1+C24))*((1+C24)^C25-1)/C24</f>
        <v>39398.363079013267</v>
      </c>
      <c r="D26" s="47">
        <f>(D23*(1+D24))*((1+D24)^D25-1)/D24</f>
        <v>44475.882869884925</v>
      </c>
      <c r="F26" s="33" t="s">
        <v>31</v>
      </c>
      <c r="G26" s="1120">
        <v>8</v>
      </c>
    </row>
    <row r="27" spans="2:7">
      <c r="B27" s="33" t="s">
        <v>129</v>
      </c>
      <c r="C27" s="19">
        <f>(C23*((1+C24)^C25-1)/C24)</f>
        <v>37558.020094388245</v>
      </c>
      <c r="D27" s="47">
        <f>(D23*((1+D24)^D25-1)/D24)</f>
        <v>42398.363079013274</v>
      </c>
      <c r="F27" s="33" t="s">
        <v>130</v>
      </c>
      <c r="G27" s="47">
        <f>G23*(1+G24)*((1+G24)^G26-(1+G25)^G26)/((1+G24)-(1+G25))</f>
        <v>22513.223474579598</v>
      </c>
    </row>
    <row r="28" spans="2:7" ht="17.25" thickBot="1">
      <c r="B28" s="20" t="str">
        <f>" les KX de début de période "&amp;C26&amp;" contre   "&amp;C27&amp;" "</f>
        <v xml:space="preserve"> les KX de début de période 39398.3630790133 contre   37558.0200943882 </v>
      </c>
      <c r="C28" s="34"/>
      <c r="D28" s="29"/>
      <c r="F28" s="35" t="s">
        <v>131</v>
      </c>
      <c r="G28" s="47">
        <f>G23*((1+G24)^G26-(1+G25)^G26)/((1+G24)-(1+G25))</f>
        <v>21359.794567912337</v>
      </c>
    </row>
    <row r="29" spans="2:7" ht="17.25" thickBot="1">
      <c r="F29" s="20" t="str">
        <f>" Capital de début de période "&amp;G27&amp;":"</f>
        <v xml:space="preserve"> Capital de début de période 22513.2234745796:</v>
      </c>
      <c r="G29" s="29"/>
    </row>
    <row r="30" spans="2:7">
      <c r="C30" s="11"/>
      <c r="D30" s="11"/>
      <c r="E30" s="11"/>
      <c r="F30" s="11"/>
      <c r="G30" s="11"/>
    </row>
    <row r="32" spans="2:7" ht="17.25" thickBot="1">
      <c r="B32" s="11" t="s">
        <v>141</v>
      </c>
      <c r="F32" s="11" t="s">
        <v>157</v>
      </c>
    </row>
    <row r="33" spans="2:7">
      <c r="B33" s="1691" t="s">
        <v>142</v>
      </c>
      <c r="C33" s="1691"/>
      <c r="D33" s="48" t="s">
        <v>143</v>
      </c>
      <c r="F33" s="49" t="s">
        <v>156</v>
      </c>
      <c r="G33" s="1121">
        <v>10</v>
      </c>
    </row>
    <row r="34" spans="2:7">
      <c r="B34" s="50" t="s">
        <v>26</v>
      </c>
      <c r="C34" s="51"/>
      <c r="D34" s="52">
        <f>IF(AND(C34="",C35="",C36="",C37=""),"",IF(C34="",PV(((C36/100+1)^(1/12)-1),C35,-C37)," "))</f>
        <v>5595.9505396123204</v>
      </c>
      <c r="F34" s="53" t="s">
        <v>153</v>
      </c>
      <c r="G34" s="1122">
        <v>0.08</v>
      </c>
    </row>
    <row r="35" spans="2:7">
      <c r="B35" s="54" t="s">
        <v>56</v>
      </c>
      <c r="C35" s="55">
        <v>24</v>
      </c>
      <c r="D35" s="56" t="str">
        <f>IF(AND(C34="",C35="",C36="",C37=""),"",IF(C35="",NPER(((C36/100+1)^(1/12)-1),C37,-C34)," "))</f>
        <v xml:space="preserve"> </v>
      </c>
      <c r="F35" s="53" t="s">
        <v>154</v>
      </c>
      <c r="G35" s="1123">
        <v>10</v>
      </c>
    </row>
    <row r="36" spans="2:7">
      <c r="B36" s="50" t="s">
        <v>144</v>
      </c>
      <c r="C36" s="51">
        <v>7</v>
      </c>
      <c r="D36" s="56" t="str">
        <f>IF(AND(C34="",C35="",C36="",C37=""),"",IF(C36="",((RATE(C35,C37,-C34)+1)^12-1)," "))</f>
        <v xml:space="preserve"> </v>
      </c>
      <c r="F36" s="53" t="s">
        <v>155</v>
      </c>
      <c r="G36" s="17">
        <f>-FV(G34,G35,G33*12)</f>
        <v>1738.3874959091816</v>
      </c>
    </row>
    <row r="37" spans="2:7" ht="17.25" thickBot="1">
      <c r="B37" s="50" t="s">
        <v>145</v>
      </c>
      <c r="C37" s="51">
        <v>250</v>
      </c>
      <c r="D37" s="52" t="str">
        <f>IF(AND(C34="",C35="",C36="",C37=""),"",IF(C37="",PMT(((C36/100+1)^(1/12)-1),C35,-C34)," "))</f>
        <v xml:space="preserve"> </v>
      </c>
      <c r="F37" s="57" t="s">
        <v>152</v>
      </c>
      <c r="G37" s="58">
        <f>G36-(G33*12*G35)</f>
        <v>538.38749590918155</v>
      </c>
    </row>
    <row r="39" spans="2:7">
      <c r="B39" s="11" t="s">
        <v>146</v>
      </c>
    </row>
    <row r="40" spans="2:7">
      <c r="B40" s="59" t="s">
        <v>142</v>
      </c>
      <c r="C40" s="59"/>
      <c r="D40" s="59"/>
      <c r="E40" s="59"/>
    </row>
    <row r="41" spans="2:7">
      <c r="B41" s="59" t="s">
        <v>59</v>
      </c>
      <c r="C41" s="59"/>
      <c r="D41" s="59" t="s">
        <v>70</v>
      </c>
      <c r="E41" s="59" t="s">
        <v>147</v>
      </c>
    </row>
    <row r="42" spans="2:7">
      <c r="B42" s="1692">
        <v>0.12</v>
      </c>
      <c r="C42" s="1692"/>
      <c r="D42" s="1124" t="s">
        <v>148</v>
      </c>
      <c r="E42" s="1119">
        <v>12</v>
      </c>
    </row>
    <row r="43" spans="2:7">
      <c r="B43" s="59" t="s">
        <v>149</v>
      </c>
      <c r="C43" s="59"/>
      <c r="D43" s="59" t="s">
        <v>150</v>
      </c>
      <c r="E43" s="59"/>
    </row>
    <row r="44" spans="2:7">
      <c r="B44" s="1688">
        <f>IF(E42="","",((1+B42)^(1/E42)-1))</f>
        <v>9.4887929345830457E-3</v>
      </c>
      <c r="C44" s="1688"/>
      <c r="D44" s="1688">
        <f>B42/E42</f>
        <v>0.01</v>
      </c>
      <c r="E44" s="1688"/>
    </row>
    <row r="45" spans="2:7">
      <c r="B45" s="60" t="str">
        <f>" Le taux  "&amp;B44&amp;"  équivaut  aux taux de  "&amp;D42&amp;" de"&amp;E42&amp;" mois"""</f>
        <v xml:space="preserve"> Le taux  0.00948879293458305  équivaut  aux taux de  mensuel de12 mois"</v>
      </c>
      <c r="C45" s="59"/>
      <c r="D45" s="59"/>
      <c r="E45" s="59"/>
    </row>
    <row r="46" spans="2:7">
      <c r="B46" s="59" t="s">
        <v>151</v>
      </c>
      <c r="C46" s="59"/>
      <c r="D46" s="59"/>
      <c r="E46" s="59"/>
    </row>
    <row r="48" spans="2:7" ht="17.25" thickBot="1">
      <c r="B48" s="11" t="s">
        <v>132</v>
      </c>
      <c r="C48" s="11"/>
      <c r="D48" s="11"/>
      <c r="E48" s="11"/>
      <c r="F48" s="11"/>
      <c r="G48" s="11"/>
    </row>
    <row r="49" spans="2:7" ht="33">
      <c r="B49" s="36" t="s">
        <v>133</v>
      </c>
      <c r="C49" s="37" t="s">
        <v>134</v>
      </c>
      <c r="D49" s="7" t="s">
        <v>135</v>
      </c>
      <c r="E49" s="38" t="s">
        <v>136</v>
      </c>
      <c r="F49" s="39" t="s">
        <v>137</v>
      </c>
      <c r="G49" s="40">
        <v>2.1499999999999998E-2</v>
      </c>
    </row>
    <row r="50" spans="2:7">
      <c r="B50" s="1125">
        <v>5000</v>
      </c>
      <c r="C50" s="2">
        <v>1</v>
      </c>
      <c r="D50" s="2">
        <v>1</v>
      </c>
      <c r="E50" s="3">
        <v>2013</v>
      </c>
      <c r="F50" s="4">
        <f>(((360*($E$60-E50))+(30*($D$60-D50))+($C$60-C50))-1)</f>
        <v>359</v>
      </c>
      <c r="G50" s="41">
        <f>(B50*F50)*$G$49/360</f>
        <v>107.20138888888889</v>
      </c>
    </row>
    <row r="51" spans="2:7">
      <c r="B51" s="1125">
        <v>-4000</v>
      </c>
      <c r="C51" s="2">
        <v>15</v>
      </c>
      <c r="D51" s="2">
        <v>1</v>
      </c>
      <c r="E51" s="3">
        <v>2013</v>
      </c>
      <c r="F51" s="4">
        <f>(((360*($E$60-E51))+(30*($D$60-D51))+($C$60-C51))-1)</f>
        <v>345</v>
      </c>
      <c r="G51" s="41">
        <f>(B51*F51)*$G$49/360</f>
        <v>-82.416666666666657</v>
      </c>
    </row>
    <row r="52" spans="2:7">
      <c r="B52" s="1125">
        <v>1000</v>
      </c>
      <c r="C52" s="2">
        <v>27</v>
      </c>
      <c r="D52" s="2">
        <v>2</v>
      </c>
      <c r="E52" s="3">
        <v>2013</v>
      </c>
      <c r="F52" s="4">
        <f>(((360*($E$60-E52))+(30*($D$60-D52))+($C$60-C52))-1)</f>
        <v>303</v>
      </c>
      <c r="G52" s="41">
        <f>(B52*F52)*$G$49/360</f>
        <v>18.095833333333331</v>
      </c>
    </row>
    <row r="53" spans="2:7">
      <c r="B53" s="1125">
        <v>2000</v>
      </c>
      <c r="C53" s="2">
        <v>30</v>
      </c>
      <c r="D53" s="2">
        <v>3</v>
      </c>
      <c r="E53" s="3">
        <v>2013</v>
      </c>
      <c r="F53" s="4">
        <f>(((360*($E$60-E53))+(30*($D$60-D53))+($C$60-C53))-1)</f>
        <v>270</v>
      </c>
      <c r="G53" s="41">
        <f>(B53*F53)*$G$49/360</f>
        <v>32.249999999999993</v>
      </c>
    </row>
    <row r="54" spans="2:7">
      <c r="B54" s="1125">
        <v>600</v>
      </c>
      <c r="C54" s="2">
        <v>5</v>
      </c>
      <c r="D54" s="2">
        <v>5</v>
      </c>
      <c r="E54" s="3">
        <v>2013</v>
      </c>
      <c r="F54" s="4">
        <f t="shared" ref="F54:F58" si="0">(((360*($E$60-E54))+(30*($D$60-D54))+($C$60-C54))-1)</f>
        <v>235</v>
      </c>
      <c r="G54" s="41">
        <f t="shared" ref="G54:G57" si="1">(B54*F54)*$G$49/360</f>
        <v>8.4208333333333325</v>
      </c>
    </row>
    <row r="55" spans="2:7">
      <c r="B55" s="1125">
        <v>-800</v>
      </c>
      <c r="C55" s="2">
        <v>6</v>
      </c>
      <c r="D55" s="2">
        <v>8</v>
      </c>
      <c r="E55" s="3">
        <v>2013</v>
      </c>
      <c r="F55" s="4">
        <f t="shared" si="0"/>
        <v>144</v>
      </c>
      <c r="G55" s="41">
        <f t="shared" si="1"/>
        <v>-6.879999999999999</v>
      </c>
    </row>
    <row r="56" spans="2:7">
      <c r="B56" s="1125">
        <v>-2000</v>
      </c>
      <c r="C56" s="2">
        <v>18</v>
      </c>
      <c r="D56" s="2">
        <v>9</v>
      </c>
      <c r="E56" s="3">
        <v>2013</v>
      </c>
      <c r="F56" s="4">
        <f t="shared" si="0"/>
        <v>102</v>
      </c>
      <c r="G56" s="41">
        <f t="shared" si="1"/>
        <v>-12.183333333333334</v>
      </c>
    </row>
    <row r="57" spans="2:7">
      <c r="B57" s="1125">
        <v>15000</v>
      </c>
      <c r="C57" s="2">
        <v>5</v>
      </c>
      <c r="D57" s="2">
        <v>10</v>
      </c>
      <c r="E57" s="3">
        <v>2013</v>
      </c>
      <c r="F57" s="4">
        <f t="shared" si="0"/>
        <v>85</v>
      </c>
      <c r="G57" s="41">
        <f t="shared" si="1"/>
        <v>76.145833333333329</v>
      </c>
    </row>
    <row r="58" spans="2:7">
      <c r="B58" s="1125">
        <v>-5000</v>
      </c>
      <c r="C58" s="2">
        <v>24</v>
      </c>
      <c r="D58" s="2">
        <v>11</v>
      </c>
      <c r="E58" s="3">
        <v>2013</v>
      </c>
      <c r="F58" s="4">
        <f t="shared" si="0"/>
        <v>36</v>
      </c>
      <c r="G58" s="41">
        <f>(B58*F58)*$G$49/360</f>
        <v>-10.749999999999998</v>
      </c>
    </row>
    <row r="59" spans="2:7">
      <c r="B59" s="1125"/>
      <c r="C59" s="2"/>
      <c r="D59" s="2"/>
      <c r="E59" s="3"/>
      <c r="F59" s="4">
        <f>(((360*($E$60-E59))+(30*($D$60-D59))+($C$60-C59))-1)</f>
        <v>725070</v>
      </c>
      <c r="G59" s="41"/>
    </row>
    <row r="60" spans="2:7">
      <c r="B60" s="6" t="s">
        <v>138</v>
      </c>
      <c r="C60" s="2">
        <v>31</v>
      </c>
      <c r="D60" s="2">
        <v>12</v>
      </c>
      <c r="E60" s="3">
        <v>2013</v>
      </c>
      <c r="F60" s="5"/>
      <c r="G60" s="8"/>
    </row>
    <row r="61" spans="2:7" ht="17.25" thickBot="1">
      <c r="B61" s="42" t="s">
        <v>139</v>
      </c>
      <c r="C61" s="42">
        <f>SUM(B50:B59)</f>
        <v>11800</v>
      </c>
      <c r="D61" s="42"/>
      <c r="E61" s="42"/>
      <c r="F61" s="43" t="s">
        <v>140</v>
      </c>
      <c r="G61" s="44">
        <f>SUM(G50:G59)</f>
        <v>129.88388888888889</v>
      </c>
    </row>
  </sheetData>
  <sheetProtection password="8904" sheet="1" objects="1" scenarios="1" selectLockedCells="1"/>
  <mergeCells count="6">
    <mergeCell ref="B44:C44"/>
    <mergeCell ref="D44:E44"/>
    <mergeCell ref="B2:F2"/>
    <mergeCell ref="B3:D3"/>
    <mergeCell ref="B33:C33"/>
    <mergeCell ref="B42:C42"/>
  </mergeCells>
  <pageMargins left="0.7" right="0.7" top="0.75" bottom="0.75" header="0.3" footer="0.3"/>
  <pageSetup paperSize="9" orientation="portrait" horizontalDpi="4294967293" verticalDpi="0" r:id="rId1"/>
  <drawing r:id="rId2"/>
  <legacyDrawing r:id="rId3"/>
</worksheet>
</file>

<file path=xl/worksheets/sheet14.xml><?xml version="1.0" encoding="utf-8"?>
<worksheet xmlns="http://schemas.openxmlformats.org/spreadsheetml/2006/main" xmlns:r="http://schemas.openxmlformats.org/officeDocument/2006/relationships">
  <sheetPr codeName="Feuil11"/>
  <dimension ref="A2:AMJ165"/>
  <sheetViews>
    <sheetView workbookViewId="0">
      <selection activeCell="I4" sqref="I4"/>
    </sheetView>
  </sheetViews>
  <sheetFormatPr baseColWidth="10" defaultRowHeight="14.1" customHeight="1"/>
  <cols>
    <col min="1" max="1" width="21.85546875" style="889" customWidth="1"/>
    <col min="2" max="2" width="22.5703125" style="889" customWidth="1"/>
    <col min="3" max="1024" width="12.28515625" style="889" customWidth="1"/>
    <col min="1025" max="16384" width="11.42578125" style="890"/>
  </cols>
  <sheetData>
    <row r="2" spans="1:9" ht="14.1" customHeight="1">
      <c r="A2" s="887"/>
      <c r="B2" s="887"/>
      <c r="C2" s="888" t="s">
        <v>562</v>
      </c>
      <c r="D2" s="887"/>
      <c r="E2" s="887"/>
      <c r="F2" s="887"/>
      <c r="G2" s="887"/>
      <c r="H2" s="887"/>
    </row>
    <row r="3" spans="1:9" ht="14.1" customHeight="1">
      <c r="A3" s="891"/>
      <c r="B3" s="891"/>
      <c r="C3" s="891"/>
      <c r="D3" s="891"/>
      <c r="E3" s="891"/>
      <c r="F3" s="891"/>
      <c r="G3" s="891"/>
      <c r="H3" s="891"/>
      <c r="I3" s="890"/>
    </row>
    <row r="4" spans="1:9" ht="14.1" customHeight="1">
      <c r="A4" s="938" t="s">
        <v>1350</v>
      </c>
      <c r="B4" s="939"/>
      <c r="C4" s="939"/>
      <c r="D4" s="939"/>
      <c r="E4" s="939"/>
      <c r="F4" s="939"/>
      <c r="G4" s="939"/>
      <c r="H4" s="940"/>
      <c r="I4" s="890"/>
    </row>
    <row r="5" spans="1:9" ht="14.1" customHeight="1">
      <c r="A5" s="941" t="s">
        <v>1570</v>
      </c>
      <c r="B5" s="929"/>
      <c r="C5" s="929"/>
      <c r="D5" s="930"/>
      <c r="E5" s="892" t="s">
        <v>1319</v>
      </c>
      <c r="F5" s="951" t="s">
        <v>1320</v>
      </c>
      <c r="G5" s="892" t="s">
        <v>1321</v>
      </c>
      <c r="H5" s="892" t="s">
        <v>1322</v>
      </c>
      <c r="I5" s="890"/>
    </row>
    <row r="6" spans="1:9" ht="14.1" customHeight="1">
      <c r="A6" s="942" t="s">
        <v>1323</v>
      </c>
      <c r="B6" s="931">
        <f>SUM(B7:B8)</f>
        <v>750000</v>
      </c>
      <c r="C6" s="931"/>
      <c r="D6" s="931"/>
      <c r="E6" s="931">
        <f>E7</f>
        <v>200000</v>
      </c>
      <c r="F6" s="931">
        <f>F7</f>
        <v>300000</v>
      </c>
      <c r="G6" s="931">
        <f>G7</f>
        <v>250000</v>
      </c>
      <c r="H6" s="943">
        <f>SUM(H7:H8)</f>
        <v>0</v>
      </c>
      <c r="I6" s="890"/>
    </row>
    <row r="7" spans="1:9" ht="14.1" customHeight="1">
      <c r="A7" s="945" t="s">
        <v>1324</v>
      </c>
      <c r="B7" s="932">
        <f>SUM(C7:H7)</f>
        <v>750000</v>
      </c>
      <c r="C7" s="932"/>
      <c r="D7" s="932"/>
      <c r="E7" s="892">
        <v>200000</v>
      </c>
      <c r="F7" s="892">
        <v>300000</v>
      </c>
      <c r="G7" s="892">
        <v>250000</v>
      </c>
      <c r="H7" s="944"/>
      <c r="I7" s="890"/>
    </row>
    <row r="8" spans="1:9" ht="14.1" customHeight="1">
      <c r="A8" s="945" t="s">
        <v>1351</v>
      </c>
      <c r="B8" s="932" t="str">
        <f>H5</f>
        <v>CHAUVIN</v>
      </c>
      <c r="C8" s="932"/>
      <c r="D8" s="932"/>
      <c r="E8" s="932"/>
      <c r="F8" s="932"/>
      <c r="G8" s="932"/>
      <c r="H8" s="944"/>
      <c r="I8" s="890"/>
    </row>
    <row r="9" spans="1:9" ht="14.1" customHeight="1">
      <c r="A9" s="941" t="s">
        <v>1025</v>
      </c>
      <c r="B9" s="932"/>
      <c r="C9" s="932"/>
      <c r="D9" s="932"/>
      <c r="E9" s="932"/>
      <c r="F9" s="932" t="s">
        <v>1026</v>
      </c>
      <c r="G9" s="932"/>
      <c r="H9" s="944"/>
      <c r="I9" s="890"/>
    </row>
    <row r="10" spans="1:9" ht="14.1" customHeight="1">
      <c r="A10" s="945" t="s">
        <v>27</v>
      </c>
      <c r="B10" s="892">
        <v>100000</v>
      </c>
      <c r="D10" s="932"/>
      <c r="E10" s="932"/>
      <c r="F10" s="932" t="s">
        <v>155</v>
      </c>
      <c r="G10" s="932"/>
      <c r="H10" s="892">
        <v>490000</v>
      </c>
      <c r="I10" s="890"/>
    </row>
    <row r="11" spans="1:9" ht="14.1" customHeight="1">
      <c r="A11" s="945" t="s">
        <v>1348</v>
      </c>
      <c r="B11" s="892">
        <v>50000</v>
      </c>
      <c r="D11" s="932"/>
      <c r="E11" s="932"/>
      <c r="F11" s="932" t="s">
        <v>1357</v>
      </c>
      <c r="G11" s="932"/>
      <c r="H11" s="892">
        <v>120000</v>
      </c>
      <c r="I11" s="890"/>
    </row>
    <row r="12" spans="1:9" ht="14.1" customHeight="1">
      <c r="A12" s="945" t="s">
        <v>326</v>
      </c>
      <c r="B12" s="892">
        <v>120000</v>
      </c>
      <c r="D12" s="932"/>
      <c r="E12" s="932"/>
      <c r="F12" s="932" t="s">
        <v>1358</v>
      </c>
      <c r="G12" s="932"/>
      <c r="H12" s="892">
        <v>30000</v>
      </c>
      <c r="I12" s="890"/>
    </row>
    <row r="13" spans="1:9" ht="14.1" customHeight="1">
      <c r="A13" s="945" t="s">
        <v>1349</v>
      </c>
      <c r="B13" s="892">
        <v>500000</v>
      </c>
      <c r="D13" s="932"/>
      <c r="E13" s="932"/>
      <c r="F13" s="933" t="s">
        <v>276</v>
      </c>
      <c r="G13" s="932"/>
      <c r="H13" s="892">
        <v>150000</v>
      </c>
      <c r="I13" s="890"/>
    </row>
    <row r="14" spans="1:9" ht="14.1" customHeight="1">
      <c r="A14" s="945" t="s">
        <v>1346</v>
      </c>
      <c r="B14" s="892">
        <v>20000</v>
      </c>
      <c r="D14" s="932"/>
      <c r="E14" s="932"/>
      <c r="F14" s="932"/>
      <c r="G14" s="932"/>
      <c r="H14" s="944"/>
      <c r="I14" s="890"/>
    </row>
    <row r="15" spans="1:9" ht="14.1" customHeight="1">
      <c r="A15" s="942" t="s">
        <v>1330</v>
      </c>
      <c r="B15" s="931">
        <f>SUM(B9:B14)</f>
        <v>790000</v>
      </c>
      <c r="C15" s="931"/>
      <c r="D15" s="931"/>
      <c r="E15" s="931"/>
      <c r="F15" s="931"/>
      <c r="G15" s="931"/>
      <c r="H15" s="943">
        <f>SUM(H9:H14)</f>
        <v>790000</v>
      </c>
      <c r="I15" s="890"/>
    </row>
    <row r="16" spans="1:9" ht="14.1" customHeight="1">
      <c r="A16" s="955" t="s">
        <v>1571</v>
      </c>
      <c r="B16" s="934"/>
      <c r="C16" s="934"/>
      <c r="D16" s="934"/>
      <c r="E16" s="934"/>
      <c r="F16" s="934"/>
      <c r="G16" s="934"/>
      <c r="H16" s="956">
        <f>H15-B15</f>
        <v>0</v>
      </c>
      <c r="I16" s="890"/>
    </row>
    <row r="17" spans="1:9" ht="14.1" customHeight="1">
      <c r="A17" s="941" t="s">
        <v>1340</v>
      </c>
      <c r="B17" s="929">
        <f>SUM(C17:H17)</f>
        <v>1540000</v>
      </c>
      <c r="C17" s="929"/>
      <c r="D17" s="929"/>
      <c r="E17" s="929">
        <f>SUM(E7:E14)</f>
        <v>200000</v>
      </c>
      <c r="F17" s="929">
        <f>SUM(F7:F14)</f>
        <v>300000</v>
      </c>
      <c r="G17" s="929">
        <f>G7</f>
        <v>250000</v>
      </c>
      <c r="H17" s="946">
        <f>SUM(H7:H14)</f>
        <v>790000</v>
      </c>
      <c r="I17" s="890"/>
    </row>
    <row r="18" spans="1:9" ht="14.1" customHeight="1">
      <c r="A18" s="945" t="s">
        <v>1332</v>
      </c>
      <c r="B18" s="892">
        <v>100</v>
      </c>
      <c r="C18" s="929"/>
      <c r="D18" s="929"/>
      <c r="E18" s="929">
        <f>E17*B18/B17</f>
        <v>12.987012987012987</v>
      </c>
      <c r="F18" s="929">
        <f>F17*B18/B17</f>
        <v>19.480519480519479</v>
      </c>
      <c r="G18" s="929">
        <f>G17*B18/B17</f>
        <v>16.233766233766232</v>
      </c>
      <c r="H18" s="946">
        <f>H17*B18/B17</f>
        <v>51.298701298701296</v>
      </c>
      <c r="I18" s="890"/>
    </row>
    <row r="19" spans="1:9" ht="14.1" customHeight="1">
      <c r="A19" s="945" t="s">
        <v>1355</v>
      </c>
      <c r="B19" s="929">
        <f>SUM(E19:H19)</f>
        <v>15400</v>
      </c>
      <c r="C19" s="929"/>
      <c r="D19" s="929"/>
      <c r="E19" s="929">
        <f>E17/B18</f>
        <v>2000</v>
      </c>
      <c r="F19" s="929">
        <f>F17/B18</f>
        <v>3000</v>
      </c>
      <c r="G19" s="935">
        <f>G17/B18</f>
        <v>2500</v>
      </c>
      <c r="H19" s="946">
        <f>H17/B18</f>
        <v>7900</v>
      </c>
      <c r="I19" s="890"/>
    </row>
    <row r="20" spans="1:9" ht="14.1" customHeight="1">
      <c r="A20" s="945"/>
      <c r="B20" s="929"/>
      <c r="C20" s="929"/>
      <c r="D20" s="929"/>
      <c r="E20" s="929"/>
      <c r="F20" s="929"/>
      <c r="G20" s="929"/>
      <c r="H20" s="946"/>
      <c r="I20" s="890"/>
    </row>
    <row r="21" spans="1:9" ht="14.1" customHeight="1">
      <c r="A21" s="945" t="s">
        <v>1352</v>
      </c>
      <c r="B21" s="929"/>
      <c r="C21" s="929"/>
      <c r="D21" s="929"/>
      <c r="E21" s="892">
        <v>430000</v>
      </c>
      <c r="F21" s="929"/>
      <c r="G21" s="929"/>
      <c r="H21" s="946">
        <f>B13-E21</f>
        <v>70000</v>
      </c>
      <c r="I21" s="890"/>
    </row>
    <row r="22" spans="1:9" ht="14.1" customHeight="1">
      <c r="A22" s="945" t="s">
        <v>1353</v>
      </c>
      <c r="B22" s="929"/>
      <c r="C22" s="929"/>
      <c r="D22" s="929"/>
      <c r="E22" s="892">
        <v>20000</v>
      </c>
      <c r="F22" s="929"/>
      <c r="G22" s="929"/>
      <c r="H22" s="946">
        <f>H12-E22</f>
        <v>10000</v>
      </c>
      <c r="I22" s="890"/>
    </row>
    <row r="23" spans="1:9" ht="14.1" customHeight="1">
      <c r="A23" s="945" t="s">
        <v>1354</v>
      </c>
      <c r="B23" s="929"/>
      <c r="C23" s="929"/>
      <c r="D23" s="929"/>
      <c r="E23" s="892">
        <v>30000</v>
      </c>
      <c r="F23" s="929"/>
      <c r="G23" s="929"/>
      <c r="H23" s="946">
        <f>B10-E23</f>
        <v>70000</v>
      </c>
      <c r="I23" s="890"/>
    </row>
    <row r="24" spans="1:9" ht="14.1" customHeight="1">
      <c r="A24" s="945" t="s">
        <v>1333</v>
      </c>
      <c r="B24" s="929"/>
      <c r="C24" s="929"/>
      <c r="D24" s="929"/>
      <c r="E24" s="892">
        <v>50000</v>
      </c>
      <c r="F24" s="929"/>
      <c r="G24" s="929"/>
      <c r="H24" s="946">
        <f>E24</f>
        <v>50000</v>
      </c>
      <c r="I24" s="890"/>
    </row>
    <row r="25" spans="1:9" ht="14.1" customHeight="1">
      <c r="A25" s="945"/>
      <c r="B25" s="929"/>
      <c r="C25" s="929"/>
      <c r="D25" s="929"/>
      <c r="E25" s="929"/>
      <c r="F25" s="929"/>
      <c r="G25" s="929"/>
      <c r="H25" s="946"/>
      <c r="I25" s="890"/>
    </row>
    <row r="26" spans="1:9" ht="14.1" customHeight="1">
      <c r="A26" s="945" t="s">
        <v>1334</v>
      </c>
      <c r="B26" s="932"/>
      <c r="C26" s="932"/>
      <c r="D26" s="932"/>
      <c r="E26" s="932">
        <f>H21</f>
        <v>70000</v>
      </c>
      <c r="F26" s="932"/>
      <c r="G26" s="932"/>
      <c r="H26" s="944"/>
      <c r="I26" s="890"/>
    </row>
    <row r="27" spans="1:9" ht="14.1" customHeight="1">
      <c r="A27" s="945" t="s">
        <v>1347</v>
      </c>
      <c r="B27" s="932"/>
      <c r="C27" s="932"/>
      <c r="D27" s="932"/>
      <c r="E27" s="932"/>
      <c r="F27" s="932"/>
      <c r="G27" s="932"/>
      <c r="H27" s="944">
        <f>E22</f>
        <v>20000</v>
      </c>
      <c r="I27" s="890"/>
    </row>
    <row r="28" spans="1:9" ht="14.1" customHeight="1">
      <c r="A28" s="945" t="s">
        <v>1335</v>
      </c>
      <c r="B28" s="932"/>
      <c r="C28" s="932"/>
      <c r="D28" s="932"/>
      <c r="E28" s="932"/>
      <c r="F28" s="932"/>
      <c r="G28" s="932"/>
      <c r="H28" s="944">
        <f>-E23</f>
        <v>-30000</v>
      </c>
      <c r="I28" s="890"/>
    </row>
    <row r="29" spans="1:9" ht="14.1" customHeight="1">
      <c r="A29" s="945" t="s">
        <v>1336</v>
      </c>
      <c r="B29" s="932"/>
      <c r="C29" s="932"/>
      <c r="D29" s="932"/>
      <c r="E29" s="932">
        <f>H24</f>
        <v>50000</v>
      </c>
      <c r="F29" s="932"/>
      <c r="G29" s="932"/>
      <c r="H29" s="944"/>
      <c r="I29" s="890"/>
    </row>
    <row r="30" spans="1:9" ht="14.1" customHeight="1">
      <c r="A30" s="945" t="s">
        <v>1337</v>
      </c>
      <c r="B30" s="932"/>
      <c r="C30" s="932"/>
      <c r="D30" s="932"/>
      <c r="E30" s="932"/>
      <c r="F30" s="932"/>
      <c r="G30" s="932"/>
      <c r="H30" s="944"/>
      <c r="I30" s="890"/>
    </row>
    <row r="31" spans="1:9" ht="14.1" customHeight="1">
      <c r="A31" s="945" t="s">
        <v>1338</v>
      </c>
      <c r="B31" s="932"/>
      <c r="C31" s="932"/>
      <c r="D31" s="932"/>
      <c r="E31" s="932">
        <f>SUM(E26:E30)</f>
        <v>120000</v>
      </c>
      <c r="F31" s="932"/>
      <c r="G31" s="932">
        <f>H31-E31</f>
        <v>-130000</v>
      </c>
      <c r="H31" s="944">
        <f>SUM(H26:H30)</f>
        <v>-10000</v>
      </c>
      <c r="I31" s="890"/>
    </row>
    <row r="32" spans="1:9" ht="14.1" customHeight="1">
      <c r="A32" s="945"/>
      <c r="B32" s="932"/>
      <c r="C32" s="932"/>
      <c r="D32" s="932"/>
      <c r="E32" s="932"/>
      <c r="F32" s="932"/>
      <c r="G32" s="932"/>
      <c r="H32" s="944"/>
      <c r="I32" s="890"/>
    </row>
    <row r="33" spans="1:9" ht="14.1" customHeight="1">
      <c r="A33" s="952" t="s">
        <v>1572</v>
      </c>
      <c r="B33" s="953"/>
      <c r="C33" s="953"/>
      <c r="D33" s="953"/>
      <c r="E33" s="953"/>
      <c r="F33" s="953"/>
      <c r="G33" s="953"/>
      <c r="H33" s="954">
        <f>H10+H11+G31</f>
        <v>480000</v>
      </c>
      <c r="I33" s="890"/>
    </row>
    <row r="34" spans="1:9" ht="14.1" customHeight="1">
      <c r="A34" s="945" t="s">
        <v>1339</v>
      </c>
      <c r="B34" s="932"/>
      <c r="C34" s="932"/>
      <c r="D34" s="932"/>
      <c r="E34" s="932"/>
      <c r="F34" s="932"/>
      <c r="G34" s="932"/>
      <c r="H34" s="944"/>
      <c r="I34" s="890"/>
    </row>
    <row r="35" spans="1:9" ht="14.1" customHeight="1">
      <c r="A35" s="945"/>
      <c r="B35" s="932"/>
      <c r="C35" s="932"/>
      <c r="D35" s="932"/>
      <c r="E35" s="932" t="str">
        <f>E5</f>
        <v>JUSTIN</v>
      </c>
      <c r="F35" s="932" t="str">
        <f>F5</f>
        <v>RENE</v>
      </c>
      <c r="G35" s="932" t="str">
        <f>G5</f>
        <v>AUBERT</v>
      </c>
      <c r="H35" s="944" t="str">
        <f>H5</f>
        <v>CHAUVIN</v>
      </c>
      <c r="I35" s="890"/>
    </row>
    <row r="36" spans="1:9" ht="14.1" customHeight="1">
      <c r="A36" s="945" t="s">
        <v>1340</v>
      </c>
      <c r="B36" s="932">
        <f>SUM(C36:H36)</f>
        <v>1540000</v>
      </c>
      <c r="C36" s="932"/>
      <c r="D36" s="932"/>
      <c r="E36" s="932">
        <f>E17</f>
        <v>200000</v>
      </c>
      <c r="F36" s="932">
        <f>F17</f>
        <v>300000</v>
      </c>
      <c r="G36" s="932">
        <f>G17</f>
        <v>250000</v>
      </c>
      <c r="H36" s="944">
        <f>H17</f>
        <v>790000</v>
      </c>
      <c r="I36" s="890"/>
    </row>
    <row r="37" spans="1:9" ht="14.1" customHeight="1">
      <c r="A37" s="945" t="s">
        <v>1356</v>
      </c>
      <c r="B37" s="932">
        <f>B18</f>
        <v>100</v>
      </c>
      <c r="C37" s="932"/>
      <c r="D37" s="932"/>
      <c r="E37" s="932">
        <f>E36*$B$37/$B$36</f>
        <v>12.987012987012987</v>
      </c>
      <c r="F37" s="932">
        <f t="shared" ref="F37:H37" si="0">F36*$B$37/$B$36</f>
        <v>19.480519480519479</v>
      </c>
      <c r="G37" s="932">
        <f t="shared" si="0"/>
        <v>16.233766233766232</v>
      </c>
      <c r="H37" s="944">
        <f t="shared" si="0"/>
        <v>51.298701298701296</v>
      </c>
      <c r="I37" s="890"/>
    </row>
    <row r="38" spans="1:9" ht="14.1" customHeight="1">
      <c r="A38" s="945" t="s">
        <v>1355</v>
      </c>
      <c r="B38" s="932">
        <f>SUM(E38:H38)</f>
        <v>15400</v>
      </c>
      <c r="C38" s="932"/>
      <c r="D38" s="932"/>
      <c r="E38" s="932">
        <f>E36/$B37</f>
        <v>2000</v>
      </c>
      <c r="F38" s="932">
        <f t="shared" ref="F38:H38" si="1">F36/$B37</f>
        <v>3000</v>
      </c>
      <c r="G38" s="932">
        <f t="shared" si="1"/>
        <v>2500</v>
      </c>
      <c r="H38" s="944">
        <f t="shared" si="1"/>
        <v>7900</v>
      </c>
      <c r="I38" s="890"/>
    </row>
    <row r="39" spans="1:9" ht="14.1" customHeight="1">
      <c r="A39" s="947" t="s">
        <v>1341</v>
      </c>
      <c r="B39" s="936"/>
      <c r="C39" s="936"/>
      <c r="D39" s="936"/>
      <c r="E39" s="936"/>
      <c r="F39" s="936"/>
      <c r="G39" s="936"/>
      <c r="H39" s="948"/>
      <c r="I39" s="890"/>
    </row>
    <row r="40" spans="1:9" ht="14.1" customHeight="1">
      <c r="A40" s="941" t="s">
        <v>1025</v>
      </c>
      <c r="B40" s="932"/>
      <c r="C40" s="932"/>
      <c r="D40" s="932"/>
      <c r="E40" s="932"/>
      <c r="F40" s="932" t="s">
        <v>1026</v>
      </c>
      <c r="G40" s="932"/>
      <c r="H40" s="944"/>
      <c r="I40" s="890"/>
    </row>
    <row r="41" spans="1:9" ht="14.1" customHeight="1">
      <c r="A41" s="941" t="s">
        <v>831</v>
      </c>
      <c r="B41" s="932">
        <f>B14</f>
        <v>20000</v>
      </c>
      <c r="F41" s="929" t="str">
        <f>E35</f>
        <v>JUSTIN</v>
      </c>
      <c r="G41" s="937" t="s">
        <v>1326</v>
      </c>
      <c r="H41" s="944">
        <f>E36</f>
        <v>200000</v>
      </c>
      <c r="I41" s="890"/>
    </row>
    <row r="42" spans="1:9" ht="14.1" customHeight="1">
      <c r="A42" s="941" t="s">
        <v>1342</v>
      </c>
      <c r="B42" s="932">
        <f>B7</f>
        <v>750000</v>
      </c>
      <c r="D42" s="932"/>
      <c r="E42" s="932"/>
      <c r="F42" s="929" t="str">
        <f>F35</f>
        <v>RENE</v>
      </c>
      <c r="G42" s="937" t="s">
        <v>1326</v>
      </c>
      <c r="H42" s="944">
        <f>F36</f>
        <v>300000</v>
      </c>
      <c r="I42" s="890"/>
    </row>
    <row r="43" spans="1:9" ht="14.1" customHeight="1">
      <c r="A43" s="941" t="s">
        <v>1325</v>
      </c>
      <c r="B43" s="932">
        <f>E21</f>
        <v>430000</v>
      </c>
      <c r="D43" s="932"/>
      <c r="E43" s="932"/>
      <c r="F43" s="929" t="str">
        <f>G35</f>
        <v>AUBERT</v>
      </c>
      <c r="G43" s="937" t="s">
        <v>1326</v>
      </c>
      <c r="H43" s="946">
        <f>G36</f>
        <v>250000</v>
      </c>
      <c r="I43" s="890"/>
    </row>
    <row r="44" spans="1:9" ht="14.1" customHeight="1">
      <c r="A44" s="941" t="s">
        <v>1327</v>
      </c>
      <c r="B44" s="932">
        <f>B12</f>
        <v>120000</v>
      </c>
      <c r="D44" s="932"/>
      <c r="E44" s="932"/>
      <c r="F44" s="929" t="str">
        <f>H35</f>
        <v>CHAUVIN</v>
      </c>
      <c r="G44" s="937" t="s">
        <v>1326</v>
      </c>
      <c r="H44" s="946">
        <f>H33</f>
        <v>480000</v>
      </c>
      <c r="I44" s="890"/>
    </row>
    <row r="45" spans="1:9" ht="14.1" customHeight="1">
      <c r="A45" s="945" t="s">
        <v>1328</v>
      </c>
      <c r="B45" s="932">
        <f>B11</f>
        <v>50000</v>
      </c>
      <c r="D45" s="932"/>
      <c r="E45" s="932"/>
      <c r="F45" s="930" t="s">
        <v>1343</v>
      </c>
      <c r="G45" s="937"/>
      <c r="H45" s="944">
        <f>H22</f>
        <v>10000</v>
      </c>
      <c r="I45" s="890"/>
    </row>
    <row r="46" spans="1:9" ht="14.1" customHeight="1">
      <c r="A46" s="945" t="s">
        <v>1329</v>
      </c>
      <c r="B46" s="932">
        <f>H23</f>
        <v>70000</v>
      </c>
      <c r="D46" s="932"/>
      <c r="E46" s="932"/>
      <c r="F46" s="932" t="s">
        <v>1345</v>
      </c>
      <c r="G46" s="937"/>
      <c r="H46" s="944">
        <f>H24</f>
        <v>50000</v>
      </c>
      <c r="I46" s="890"/>
    </row>
    <row r="47" spans="1:9" ht="14.1" customHeight="1">
      <c r="A47" s="945" t="s">
        <v>1344</v>
      </c>
      <c r="B47" s="932"/>
      <c r="D47" s="932"/>
      <c r="E47" s="932"/>
      <c r="F47" s="932" t="s">
        <v>276</v>
      </c>
      <c r="G47" s="932"/>
      <c r="H47" s="944">
        <f>H13</f>
        <v>150000</v>
      </c>
      <c r="I47" s="890"/>
    </row>
    <row r="48" spans="1:9" ht="14.1" customHeight="1">
      <c r="A48" s="942" t="s">
        <v>15</v>
      </c>
      <c r="B48" s="931">
        <f>SUM(B41:B47)</f>
        <v>1440000</v>
      </c>
      <c r="C48" s="931"/>
      <c r="D48" s="931"/>
      <c r="E48" s="931"/>
      <c r="F48" s="931"/>
      <c r="G48" s="931"/>
      <c r="H48" s="943">
        <f>SUM(H41:H47)</f>
        <v>1440000</v>
      </c>
      <c r="I48" s="890"/>
    </row>
    <row r="49" spans="1:9" ht="14.1" customHeight="1">
      <c r="A49" s="957" t="s">
        <v>1331</v>
      </c>
      <c r="B49" s="949"/>
      <c r="C49" s="950"/>
      <c r="D49" s="950"/>
      <c r="E49" s="950"/>
      <c r="F49" s="950"/>
      <c r="G49" s="950"/>
      <c r="H49" s="958">
        <f>H48-B48</f>
        <v>0</v>
      </c>
      <c r="I49" s="890"/>
    </row>
    <row r="50" spans="1:9" ht="14.1" customHeight="1">
      <c r="A50" s="891"/>
      <c r="B50" s="891"/>
      <c r="C50" s="891"/>
      <c r="D50" s="891"/>
      <c r="E50" s="891"/>
      <c r="F50" s="891"/>
      <c r="G50" s="891"/>
      <c r="H50" s="891"/>
    </row>
    <row r="51" spans="1:9" ht="14.1" customHeight="1">
      <c r="A51" s="893" t="s">
        <v>563</v>
      </c>
      <c r="B51" s="891"/>
      <c r="C51" s="891"/>
      <c r="D51" s="891"/>
      <c r="E51" s="891"/>
      <c r="F51" s="891"/>
      <c r="G51" s="891"/>
      <c r="H51" s="891"/>
    </row>
    <row r="52" spans="1:9" ht="14.1" customHeight="1">
      <c r="A52" s="894" t="s">
        <v>564</v>
      </c>
      <c r="B52" s="895"/>
      <c r="C52" s="895"/>
      <c r="D52" s="895"/>
      <c r="E52" s="895"/>
      <c r="F52" s="895"/>
      <c r="G52" s="895"/>
      <c r="H52" s="896"/>
    </row>
    <row r="53" spans="1:9" ht="14.1" customHeight="1">
      <c r="A53" s="897">
        <v>4612</v>
      </c>
      <c r="B53" s="898" t="s">
        <v>336</v>
      </c>
      <c r="C53" s="891"/>
      <c r="D53" s="899"/>
      <c r="E53" s="891"/>
      <c r="F53" s="891"/>
      <c r="G53" s="900">
        <v>200000</v>
      </c>
      <c r="H53" s="901"/>
    </row>
    <row r="54" spans="1:9" ht="14.1" customHeight="1">
      <c r="A54" s="897">
        <v>4611</v>
      </c>
      <c r="B54" s="898" t="s">
        <v>335</v>
      </c>
      <c r="C54" s="891"/>
      <c r="D54" s="899"/>
      <c r="E54" s="891"/>
      <c r="F54" s="891"/>
      <c r="G54" s="902">
        <v>180000</v>
      </c>
      <c r="H54" s="901"/>
    </row>
    <row r="55" spans="1:9" ht="14.1" customHeight="1">
      <c r="A55" s="903"/>
      <c r="B55" s="904">
        <v>1011</v>
      </c>
      <c r="C55" s="898" t="s">
        <v>255</v>
      </c>
      <c r="D55" s="891"/>
      <c r="E55" s="891"/>
      <c r="F55" s="891"/>
      <c r="G55" s="891"/>
      <c r="H55" s="901">
        <f>SUM(G53:G54)</f>
        <v>380000</v>
      </c>
    </row>
    <row r="56" spans="1:9" ht="14.1" customHeight="1">
      <c r="A56" s="903"/>
      <c r="B56" s="891"/>
      <c r="C56" s="891"/>
      <c r="D56" s="891"/>
      <c r="E56" s="891"/>
      <c r="F56" s="891"/>
      <c r="G56" s="891"/>
      <c r="H56" s="901"/>
    </row>
    <row r="57" spans="1:9" ht="14.1" customHeight="1">
      <c r="A57" s="903" t="s">
        <v>565</v>
      </c>
      <c r="B57" s="891"/>
      <c r="C57" s="891"/>
      <c r="D57" s="891"/>
      <c r="E57" s="891"/>
      <c r="F57" s="891"/>
      <c r="G57" s="891"/>
      <c r="H57" s="901"/>
    </row>
    <row r="58" spans="1:9" ht="14.1" customHeight="1">
      <c r="A58" s="905">
        <v>215</v>
      </c>
      <c r="B58" s="906" t="s">
        <v>250</v>
      </c>
      <c r="C58" s="891"/>
      <c r="D58" s="891"/>
      <c r="E58" s="891"/>
      <c r="F58" s="891"/>
      <c r="G58" s="900">
        <v>100000</v>
      </c>
      <c r="H58" s="901"/>
    </row>
    <row r="59" spans="1:9" ht="14.1" customHeight="1">
      <c r="A59" s="905">
        <v>234</v>
      </c>
      <c r="B59" s="906" t="s">
        <v>308</v>
      </c>
      <c r="C59" s="891"/>
      <c r="D59" s="891"/>
      <c r="E59" s="891"/>
      <c r="F59" s="891"/>
      <c r="G59" s="907">
        <v>50000</v>
      </c>
      <c r="H59" s="901"/>
    </row>
    <row r="60" spans="1:9" ht="14.1" customHeight="1">
      <c r="A60" s="905">
        <v>244</v>
      </c>
      <c r="B60" s="906" t="s">
        <v>314</v>
      </c>
      <c r="C60" s="891"/>
      <c r="D60" s="891"/>
      <c r="E60" s="891"/>
      <c r="F60" s="891"/>
      <c r="G60" s="902">
        <v>30000</v>
      </c>
      <c r="H60" s="901"/>
    </row>
    <row r="61" spans="1:9" ht="14.1" customHeight="1">
      <c r="A61" s="903"/>
      <c r="B61" s="891">
        <v>4611</v>
      </c>
      <c r="C61" s="891" t="s">
        <v>497</v>
      </c>
      <c r="D61" s="891"/>
      <c r="E61" s="891"/>
      <c r="F61" s="891"/>
      <c r="G61" s="891"/>
      <c r="H61" s="901">
        <f>SUM(G58:G60)</f>
        <v>180000</v>
      </c>
    </row>
    <row r="62" spans="1:9" ht="14.1" customHeight="1">
      <c r="A62" s="903"/>
      <c r="B62" s="891"/>
      <c r="C62" s="891"/>
      <c r="D62" s="891"/>
      <c r="E62" s="891"/>
      <c r="F62" s="891"/>
      <c r="G62" s="891"/>
      <c r="H62" s="901"/>
    </row>
    <row r="63" spans="1:9" ht="14.1" customHeight="1">
      <c r="A63" s="903" t="s">
        <v>566</v>
      </c>
      <c r="B63" s="891"/>
      <c r="C63" s="891"/>
      <c r="D63" s="893" t="s">
        <v>567</v>
      </c>
      <c r="E63" s="891"/>
      <c r="F63" s="891"/>
      <c r="G63" s="908">
        <v>1</v>
      </c>
      <c r="H63" s="901"/>
    </row>
    <row r="64" spans="1:9" ht="14.1" customHeight="1">
      <c r="A64" s="905">
        <v>520</v>
      </c>
      <c r="B64" s="909" t="s">
        <v>170</v>
      </c>
      <c r="C64" s="891"/>
      <c r="D64" s="891"/>
      <c r="E64" s="891"/>
      <c r="F64" s="891"/>
      <c r="G64" s="891">
        <f>G53*G63</f>
        <v>200000</v>
      </c>
      <c r="H64" s="901"/>
    </row>
    <row r="65" spans="1:8" ht="14.1" customHeight="1">
      <c r="A65" s="903"/>
      <c r="B65" s="891">
        <v>4612</v>
      </c>
      <c r="C65" s="891" t="s">
        <v>498</v>
      </c>
      <c r="D65" s="891"/>
      <c r="E65" s="891"/>
      <c r="F65" s="891"/>
      <c r="G65" s="891"/>
      <c r="H65" s="901">
        <f>G64</f>
        <v>200000</v>
      </c>
    </row>
    <row r="66" spans="1:8" ht="14.1" customHeight="1">
      <c r="A66" s="903"/>
      <c r="B66" s="891"/>
      <c r="C66" s="891"/>
      <c r="D66" s="891"/>
      <c r="E66" s="891"/>
      <c r="F66" s="891"/>
      <c r="G66" s="891"/>
      <c r="H66" s="901"/>
    </row>
    <row r="67" spans="1:8" ht="14.1" customHeight="1">
      <c r="A67" s="897">
        <v>4613</v>
      </c>
      <c r="B67" s="898" t="s">
        <v>337</v>
      </c>
      <c r="C67" s="891"/>
      <c r="D67" s="899"/>
      <c r="E67" s="891"/>
      <c r="F67" s="891"/>
      <c r="G67" s="891">
        <f>G53-G64</f>
        <v>0</v>
      </c>
      <c r="H67" s="901"/>
    </row>
    <row r="68" spans="1:8" ht="14.1" customHeight="1">
      <c r="A68" s="903"/>
      <c r="B68" s="891">
        <v>4612</v>
      </c>
      <c r="C68" s="891" t="s">
        <v>498</v>
      </c>
      <c r="D68" s="891"/>
      <c r="E68" s="891"/>
      <c r="F68" s="891"/>
      <c r="G68" s="891"/>
      <c r="H68" s="901">
        <f>G67</f>
        <v>0</v>
      </c>
    </row>
    <row r="69" spans="1:8" ht="14.1" customHeight="1">
      <c r="A69" s="903"/>
      <c r="B69" s="891"/>
      <c r="C69" s="891"/>
      <c r="D69" s="891"/>
      <c r="E69" s="891"/>
      <c r="F69" s="891"/>
      <c r="G69" s="891"/>
      <c r="H69" s="901"/>
    </row>
    <row r="70" spans="1:8" ht="14.1" customHeight="1">
      <c r="A70" s="905">
        <v>217</v>
      </c>
      <c r="B70" s="906" t="s">
        <v>297</v>
      </c>
      <c r="C70" s="891"/>
      <c r="D70" s="891"/>
      <c r="E70" s="891"/>
      <c r="F70" s="891"/>
      <c r="G70" s="908">
        <v>1000</v>
      </c>
      <c r="H70" s="901"/>
    </row>
    <row r="71" spans="1:8" ht="14.1" customHeight="1">
      <c r="A71" s="910"/>
      <c r="B71" s="911">
        <v>520</v>
      </c>
      <c r="C71" s="911" t="s">
        <v>170</v>
      </c>
      <c r="D71" s="911"/>
      <c r="E71" s="911"/>
      <c r="F71" s="911"/>
      <c r="G71" s="911"/>
      <c r="H71" s="912">
        <f>G70</f>
        <v>1000</v>
      </c>
    </row>
    <row r="73" spans="1:8" ht="14.1" customHeight="1">
      <c r="A73" s="913" t="s">
        <v>513</v>
      </c>
    </row>
    <row r="74" spans="1:8" ht="14.1" customHeight="1">
      <c r="A74" s="887"/>
      <c r="B74" s="887"/>
      <c r="C74" s="887"/>
      <c r="D74" s="887"/>
      <c r="E74" s="887"/>
      <c r="F74" s="887"/>
      <c r="G74" s="887"/>
      <c r="H74" s="887"/>
    </row>
    <row r="75" spans="1:8" ht="14.1" customHeight="1">
      <c r="A75" s="894" t="s">
        <v>514</v>
      </c>
      <c r="B75" s="895"/>
      <c r="C75" s="895"/>
      <c r="D75" s="895"/>
      <c r="E75" s="895"/>
      <c r="F75" s="895"/>
      <c r="G75" s="895"/>
      <c r="H75" s="896"/>
    </row>
    <row r="76" spans="1:8" ht="14.1" customHeight="1">
      <c r="A76" s="903"/>
      <c r="B76" s="891"/>
      <c r="C76" s="914" t="s">
        <v>515</v>
      </c>
      <c r="D76" s="891"/>
      <c r="E76" s="908">
        <v>10000</v>
      </c>
      <c r="F76" s="891"/>
      <c r="G76" s="891"/>
      <c r="H76" s="901"/>
    </row>
    <row r="77" spans="1:8" ht="14.1" customHeight="1">
      <c r="A77" s="903"/>
      <c r="B77" s="891"/>
      <c r="C77" s="914" t="s">
        <v>516</v>
      </c>
      <c r="D77" s="891"/>
      <c r="E77" s="908">
        <v>20</v>
      </c>
      <c r="F77" s="891"/>
      <c r="G77" s="891"/>
      <c r="H77" s="901"/>
    </row>
    <row r="78" spans="1:8" ht="14.1" customHeight="1">
      <c r="A78" s="903"/>
      <c r="B78" s="891"/>
      <c r="C78" s="914" t="s">
        <v>517</v>
      </c>
      <c r="D78" s="891"/>
      <c r="E78" s="908">
        <v>30</v>
      </c>
      <c r="F78" s="891"/>
      <c r="G78" s="891"/>
      <c r="H78" s="901"/>
    </row>
    <row r="79" spans="1:8" ht="14.1" customHeight="1">
      <c r="A79" s="903"/>
      <c r="B79" s="891"/>
      <c r="C79" s="914"/>
      <c r="D79" s="891"/>
      <c r="E79" s="908"/>
      <c r="F79" s="891"/>
      <c r="G79" s="891"/>
      <c r="H79" s="901"/>
    </row>
    <row r="80" spans="1:8" ht="14.1" customHeight="1">
      <c r="A80" s="915">
        <v>520</v>
      </c>
      <c r="B80" s="914" t="s">
        <v>170</v>
      </c>
      <c r="C80" s="891"/>
      <c r="D80" s="891"/>
      <c r="E80" s="891"/>
      <c r="F80" s="891"/>
      <c r="G80" s="891">
        <f>PRODUCT(E76,E78)</f>
        <v>300000</v>
      </c>
      <c r="H80" s="901"/>
    </row>
    <row r="81" spans="1:8" ht="14.1" customHeight="1">
      <c r="A81" s="903"/>
      <c r="B81" s="916">
        <v>4615</v>
      </c>
      <c r="C81" s="916" t="s">
        <v>338</v>
      </c>
      <c r="D81" s="891"/>
      <c r="E81" s="891"/>
      <c r="F81" s="891"/>
      <c r="G81" s="891"/>
      <c r="H81" s="901">
        <f>G80</f>
        <v>300000</v>
      </c>
    </row>
    <row r="82" spans="1:8" ht="14.1" customHeight="1">
      <c r="A82" s="903"/>
      <c r="B82" s="891"/>
      <c r="C82" s="891"/>
      <c r="D82" s="891"/>
      <c r="E82" s="891"/>
      <c r="F82" s="891"/>
      <c r="G82" s="891"/>
      <c r="H82" s="901"/>
    </row>
    <row r="83" spans="1:8" ht="14.1" customHeight="1">
      <c r="A83" s="903" t="s">
        <v>518</v>
      </c>
      <c r="B83" s="891"/>
      <c r="C83" s="891"/>
      <c r="D83" s="891"/>
      <c r="E83" s="891"/>
      <c r="F83" s="891"/>
      <c r="G83" s="891"/>
      <c r="H83" s="901"/>
    </row>
    <row r="84" spans="1:8" ht="14.1" customHeight="1">
      <c r="A84" s="917">
        <v>4615</v>
      </c>
      <c r="B84" s="916" t="s">
        <v>499</v>
      </c>
      <c r="C84" s="891"/>
      <c r="D84" s="891"/>
      <c r="E84" s="891"/>
      <c r="F84" s="891"/>
      <c r="G84" s="891">
        <f>SUM(H85:H86)</f>
        <v>300000</v>
      </c>
      <c r="H84" s="901"/>
    </row>
    <row r="85" spans="1:8" ht="14.1" customHeight="1">
      <c r="A85" s="903"/>
      <c r="B85" s="904">
        <v>1013</v>
      </c>
      <c r="C85" s="898" t="s">
        <v>257</v>
      </c>
      <c r="D85" s="891"/>
      <c r="E85" s="891"/>
      <c r="F85" s="891"/>
      <c r="G85" s="891"/>
      <c r="H85" s="901">
        <f>PRODUCT(E76:E77)</f>
        <v>200000</v>
      </c>
    </row>
    <row r="86" spans="1:8" ht="14.1" customHeight="1">
      <c r="A86" s="910"/>
      <c r="B86" s="918">
        <v>1051</v>
      </c>
      <c r="C86" s="919" t="s">
        <v>258</v>
      </c>
      <c r="D86" s="911"/>
      <c r="E86" s="911"/>
      <c r="F86" s="911"/>
      <c r="G86" s="911"/>
      <c r="H86" s="912">
        <f>PRODUCT(E76,E78)-PRODUCT(E76:E77)</f>
        <v>100000</v>
      </c>
    </row>
    <row r="87" spans="1:8" ht="14.1" customHeight="1">
      <c r="A87" s="887"/>
      <c r="B87" s="887"/>
      <c r="C87" s="887"/>
      <c r="D87" s="887"/>
      <c r="E87" s="887"/>
      <c r="F87" s="887"/>
      <c r="G87" s="887"/>
      <c r="H87" s="887"/>
    </row>
    <row r="88" spans="1:8" ht="14.1" customHeight="1">
      <c r="A88" s="894" t="s">
        <v>519</v>
      </c>
      <c r="B88" s="895"/>
      <c r="C88" s="895"/>
      <c r="D88" s="895"/>
      <c r="E88" s="895"/>
      <c r="F88" s="895"/>
      <c r="G88" s="895"/>
      <c r="H88" s="896"/>
    </row>
    <row r="89" spans="1:8" ht="14.1" customHeight="1">
      <c r="A89" s="903"/>
      <c r="B89" s="891"/>
      <c r="C89" s="891" t="s">
        <v>520</v>
      </c>
      <c r="D89" s="891"/>
      <c r="E89" s="908">
        <v>20000000</v>
      </c>
      <c r="F89" s="891"/>
      <c r="G89" s="891"/>
      <c r="H89" s="901"/>
    </row>
    <row r="90" spans="1:8" ht="14.1" customHeight="1">
      <c r="A90" s="903"/>
      <c r="B90" s="891"/>
      <c r="C90" s="914" t="s">
        <v>515</v>
      </c>
      <c r="D90" s="891"/>
      <c r="E90" s="914">
        <f>E89</f>
        <v>20000000</v>
      </c>
      <c r="F90" s="891"/>
      <c r="G90" s="891"/>
      <c r="H90" s="901"/>
    </row>
    <row r="91" spans="1:8" ht="14.1" customHeight="1">
      <c r="A91" s="903"/>
      <c r="B91" s="891"/>
      <c r="C91" s="914" t="s">
        <v>516</v>
      </c>
      <c r="D91" s="891"/>
      <c r="E91" s="908">
        <v>95</v>
      </c>
      <c r="F91" s="891"/>
      <c r="G91" s="891"/>
      <c r="H91" s="901"/>
    </row>
    <row r="92" spans="1:8" ht="14.1" customHeight="1">
      <c r="A92" s="903"/>
      <c r="B92" s="891"/>
      <c r="C92" s="914" t="s">
        <v>521</v>
      </c>
      <c r="D92" s="891"/>
      <c r="E92" s="908">
        <v>100</v>
      </c>
      <c r="F92" s="891"/>
      <c r="G92" s="891"/>
      <c r="H92" s="901"/>
    </row>
    <row r="93" spans="1:8" ht="14.1" customHeight="1">
      <c r="A93" s="903"/>
      <c r="B93" s="891"/>
      <c r="C93" s="914" t="s">
        <v>515</v>
      </c>
      <c r="D93" s="891"/>
      <c r="E93" s="891">
        <f>E90/E92</f>
        <v>200000</v>
      </c>
      <c r="F93" s="891"/>
      <c r="G93" s="891"/>
      <c r="H93" s="901"/>
    </row>
    <row r="94" spans="1:8" ht="14.1" customHeight="1">
      <c r="A94" s="903"/>
      <c r="B94" s="891"/>
      <c r="C94" s="914"/>
      <c r="D94" s="891"/>
      <c r="E94" s="891"/>
      <c r="F94" s="891"/>
      <c r="G94" s="891"/>
      <c r="H94" s="901"/>
    </row>
    <row r="95" spans="1:8" ht="14.1" customHeight="1">
      <c r="A95" s="917">
        <v>4613</v>
      </c>
      <c r="B95" s="916" t="s">
        <v>522</v>
      </c>
      <c r="C95" s="891"/>
      <c r="D95" s="891"/>
      <c r="E95" s="891"/>
      <c r="F95" s="891"/>
      <c r="G95" s="891">
        <f>SUM(H96:H97)</f>
        <v>2000000000</v>
      </c>
      <c r="H95" s="901"/>
    </row>
    <row r="96" spans="1:8" ht="14.1" customHeight="1">
      <c r="A96" s="903"/>
      <c r="B96" s="904">
        <v>1012</v>
      </c>
      <c r="C96" s="898" t="s">
        <v>256</v>
      </c>
      <c r="D96" s="891"/>
      <c r="E96" s="891"/>
      <c r="F96" s="891"/>
      <c r="G96" s="891"/>
      <c r="H96" s="901">
        <f>E89*E91</f>
        <v>1900000000</v>
      </c>
    </row>
    <row r="97" spans="1:8" ht="14.1" customHeight="1">
      <c r="A97" s="903"/>
      <c r="B97" s="904">
        <v>1051</v>
      </c>
      <c r="C97" s="898" t="s">
        <v>258</v>
      </c>
      <c r="D97" s="891"/>
      <c r="E97" s="891"/>
      <c r="F97" s="891"/>
      <c r="G97" s="891"/>
      <c r="H97" s="901">
        <f>E89*(E92-E91)</f>
        <v>100000000</v>
      </c>
    </row>
    <row r="98" spans="1:8" ht="14.1" customHeight="1">
      <c r="A98" s="903"/>
      <c r="B98" s="904"/>
      <c r="C98" s="898"/>
      <c r="D98" s="891"/>
      <c r="E98" s="891"/>
      <c r="F98" s="891"/>
      <c r="G98" s="891"/>
      <c r="H98" s="901"/>
    </row>
    <row r="99" spans="1:8" ht="14.1" customHeight="1">
      <c r="A99" s="903" t="s">
        <v>523</v>
      </c>
      <c r="B99" s="891"/>
      <c r="C99" s="914"/>
      <c r="D99" s="891"/>
      <c r="E99" s="891"/>
      <c r="F99" s="891"/>
      <c r="G99" s="891"/>
      <c r="H99" s="901"/>
    </row>
    <row r="100" spans="1:8" ht="14.1" customHeight="1">
      <c r="A100" s="917">
        <v>4620</v>
      </c>
      <c r="B100" s="1693" t="s">
        <v>524</v>
      </c>
      <c r="C100" s="1693"/>
      <c r="D100" s="891"/>
      <c r="E100" s="891"/>
      <c r="F100" s="891"/>
      <c r="G100" s="891">
        <f>G95</f>
        <v>2000000000</v>
      </c>
      <c r="H100" s="901"/>
    </row>
    <row r="101" spans="1:8" ht="14.1" customHeight="1">
      <c r="A101" s="903"/>
      <c r="B101" s="891">
        <v>4613</v>
      </c>
      <c r="C101" s="891" t="s">
        <v>525</v>
      </c>
      <c r="D101" s="891"/>
      <c r="E101" s="891"/>
      <c r="F101" s="891"/>
      <c r="G101" s="891"/>
      <c r="H101" s="901">
        <f>G100</f>
        <v>2000000000</v>
      </c>
    </row>
    <row r="102" spans="1:8" ht="14.1" customHeight="1">
      <c r="A102" s="903"/>
      <c r="B102" s="891"/>
      <c r="C102" s="891"/>
      <c r="D102" s="891"/>
      <c r="E102" s="891"/>
      <c r="F102" s="891"/>
      <c r="G102" s="891"/>
      <c r="H102" s="901"/>
    </row>
    <row r="103" spans="1:8" ht="14.1" customHeight="1">
      <c r="A103" s="903" t="s">
        <v>518</v>
      </c>
      <c r="B103" s="891"/>
      <c r="C103" s="891"/>
      <c r="D103" s="891"/>
      <c r="E103" s="891"/>
      <c r="F103" s="891"/>
      <c r="G103" s="891"/>
      <c r="H103" s="901"/>
    </row>
    <row r="104" spans="1:8" ht="14.1" customHeight="1">
      <c r="A104" s="1158">
        <v>1012</v>
      </c>
      <c r="B104" s="1159" t="s">
        <v>491</v>
      </c>
      <c r="C104" s="891"/>
      <c r="D104" s="891"/>
      <c r="E104" s="891"/>
      <c r="F104" s="891"/>
      <c r="G104" s="891">
        <f>H96</f>
        <v>1900000000</v>
      </c>
      <c r="H104" s="901"/>
    </row>
    <row r="105" spans="1:8" ht="14.1" customHeight="1">
      <c r="A105" s="910"/>
      <c r="B105" s="918">
        <v>1013</v>
      </c>
      <c r="C105" s="919" t="s">
        <v>257</v>
      </c>
      <c r="D105" s="911"/>
      <c r="E105" s="911"/>
      <c r="F105" s="911"/>
      <c r="G105" s="911"/>
      <c r="H105" s="912">
        <f>G104</f>
        <v>1900000000</v>
      </c>
    </row>
    <row r="106" spans="1:8" ht="14.1" customHeight="1">
      <c r="A106" s="887"/>
      <c r="B106" s="887"/>
      <c r="C106" s="887"/>
      <c r="D106" s="887"/>
      <c r="E106" s="887"/>
      <c r="F106" s="887"/>
      <c r="G106" s="887"/>
      <c r="H106" s="887"/>
    </row>
    <row r="107" spans="1:8" ht="14.1" customHeight="1">
      <c r="A107" s="894" t="s">
        <v>526</v>
      </c>
      <c r="B107" s="895"/>
      <c r="C107" s="895"/>
      <c r="D107" s="895"/>
      <c r="E107" s="895"/>
      <c r="F107" s="895"/>
      <c r="G107" s="895"/>
      <c r="H107" s="896"/>
    </row>
    <row r="108" spans="1:8" ht="14.1" customHeight="1">
      <c r="A108" s="903"/>
      <c r="B108" s="891"/>
      <c r="C108" s="914" t="s">
        <v>527</v>
      </c>
      <c r="D108" s="891"/>
      <c r="E108" s="908">
        <v>1000000</v>
      </c>
      <c r="F108" s="891"/>
      <c r="G108" s="891"/>
      <c r="H108" s="901"/>
    </row>
    <row r="109" spans="1:8" ht="14.1" customHeight="1">
      <c r="A109" s="903"/>
      <c r="B109" s="891"/>
      <c r="C109" s="914" t="s">
        <v>528</v>
      </c>
      <c r="D109" s="891"/>
      <c r="E109" s="908">
        <v>100</v>
      </c>
      <c r="F109" s="891"/>
      <c r="G109" s="891"/>
      <c r="H109" s="901"/>
    </row>
    <row r="110" spans="1:8" ht="14.1" customHeight="1">
      <c r="A110" s="897">
        <v>1181</v>
      </c>
      <c r="B110" s="898" t="s">
        <v>529</v>
      </c>
      <c r="C110" s="891"/>
      <c r="D110" s="891"/>
      <c r="E110" s="891"/>
      <c r="F110" s="891"/>
      <c r="G110" s="891">
        <f>E108*E109</f>
        <v>100000000</v>
      </c>
      <c r="H110" s="901"/>
    </row>
    <row r="111" spans="1:8" ht="14.1" customHeight="1">
      <c r="A111" s="910"/>
      <c r="B111" s="918">
        <v>1013</v>
      </c>
      <c r="C111" s="919" t="s">
        <v>257</v>
      </c>
      <c r="D111" s="911"/>
      <c r="E111" s="911"/>
      <c r="F111" s="911"/>
      <c r="G111" s="911"/>
      <c r="H111" s="912">
        <f>G110</f>
        <v>100000000</v>
      </c>
    </row>
    <row r="112" spans="1:8" ht="14.1" customHeight="1">
      <c r="A112" s="891"/>
      <c r="B112" s="891"/>
      <c r="C112" s="891"/>
      <c r="D112" s="891"/>
      <c r="E112" s="891"/>
      <c r="F112" s="891"/>
      <c r="G112" s="891"/>
      <c r="H112" s="891"/>
    </row>
    <row r="113" spans="1:8" ht="14.1" customHeight="1">
      <c r="A113" s="887"/>
      <c r="B113" s="887"/>
      <c r="C113" s="887"/>
      <c r="D113" s="887"/>
      <c r="E113" s="887"/>
      <c r="F113" s="887"/>
      <c r="G113" s="887"/>
      <c r="H113" s="887"/>
    </row>
    <row r="114" spans="1:8" ht="21.75" customHeight="1">
      <c r="A114" s="920" t="s">
        <v>530</v>
      </c>
      <c r="B114" s="887"/>
      <c r="C114" s="887"/>
      <c r="D114" s="887"/>
      <c r="E114" s="887"/>
      <c r="F114" s="887"/>
      <c r="G114" s="887"/>
      <c r="H114" s="887"/>
    </row>
    <row r="115" spans="1:8" ht="14.1" customHeight="1">
      <c r="A115" s="920"/>
      <c r="B115" s="887"/>
      <c r="C115" s="887"/>
      <c r="D115" s="887"/>
      <c r="E115" s="887"/>
      <c r="F115" s="887"/>
      <c r="G115" s="887"/>
      <c r="H115" s="887"/>
    </row>
    <row r="116" spans="1:8" ht="14.1" customHeight="1">
      <c r="A116" s="894" t="s">
        <v>531</v>
      </c>
      <c r="B116" s="895"/>
      <c r="C116" s="895"/>
      <c r="D116" s="908">
        <v>8000000</v>
      </c>
      <c r="E116" s="895" t="s">
        <v>532</v>
      </c>
      <c r="F116" s="895"/>
      <c r="G116" s="908">
        <v>0.75</v>
      </c>
      <c r="H116" s="896"/>
    </row>
    <row r="117" spans="1:8" ht="14.1" customHeight="1">
      <c r="A117" s="903" t="s">
        <v>533</v>
      </c>
      <c r="B117" s="891"/>
      <c r="C117" s="891"/>
      <c r="D117" s="908">
        <v>10000</v>
      </c>
      <c r="E117" s="891" t="s">
        <v>534</v>
      </c>
      <c r="F117" s="891"/>
      <c r="G117" s="891">
        <f>D116/D117</f>
        <v>800</v>
      </c>
      <c r="H117" s="901"/>
    </row>
    <row r="118" spans="1:8" ht="14.1" customHeight="1">
      <c r="A118" s="903" t="s">
        <v>535</v>
      </c>
      <c r="B118" s="891"/>
      <c r="C118" s="891"/>
      <c r="D118" s="891"/>
      <c r="E118" s="891"/>
      <c r="F118" s="891"/>
      <c r="G118" s="891"/>
      <c r="H118" s="901"/>
    </row>
    <row r="119" spans="1:8" ht="14.1" customHeight="1">
      <c r="A119" s="903" t="s">
        <v>536</v>
      </c>
      <c r="B119" s="891"/>
      <c r="C119" s="891"/>
      <c r="D119" s="908">
        <v>180000</v>
      </c>
      <c r="E119" s="891"/>
      <c r="F119" s="891"/>
      <c r="G119" s="891"/>
      <c r="H119" s="901"/>
    </row>
    <row r="120" spans="1:8" ht="14.1" customHeight="1">
      <c r="A120" s="903" t="s">
        <v>537</v>
      </c>
      <c r="B120" s="891"/>
      <c r="C120" s="891"/>
      <c r="D120" s="908">
        <v>2000</v>
      </c>
      <c r="E120" s="891"/>
      <c r="F120" s="891"/>
      <c r="G120" s="891"/>
      <c r="H120" s="901"/>
    </row>
    <row r="121" spans="1:8" ht="14.1" customHeight="1">
      <c r="A121" s="903" t="s">
        <v>266</v>
      </c>
      <c r="B121" s="891"/>
      <c r="C121" s="891"/>
      <c r="D121" s="908">
        <v>0</v>
      </c>
      <c r="E121" s="891"/>
      <c r="F121" s="891"/>
      <c r="G121" s="891"/>
      <c r="H121" s="901"/>
    </row>
    <row r="122" spans="1:8" ht="14.1" customHeight="1">
      <c r="A122" s="903" t="s">
        <v>538</v>
      </c>
      <c r="B122" s="891"/>
      <c r="C122" s="891"/>
      <c r="D122" s="908">
        <v>100000</v>
      </c>
      <c r="E122" s="891"/>
      <c r="F122" s="891"/>
      <c r="G122" s="891"/>
      <c r="H122" s="901"/>
    </row>
    <row r="123" spans="1:8" ht="14.1" customHeight="1">
      <c r="A123" s="903" t="s">
        <v>539</v>
      </c>
      <c r="B123" s="891"/>
      <c r="C123" s="891"/>
      <c r="D123" s="908">
        <v>50000</v>
      </c>
      <c r="E123" s="891"/>
      <c r="F123" s="891"/>
      <c r="G123" s="891"/>
      <c r="H123" s="901"/>
    </row>
    <row r="124" spans="1:8" ht="14.1" customHeight="1">
      <c r="A124" s="903"/>
      <c r="B124" s="891"/>
      <c r="C124" s="891"/>
      <c r="D124" s="891">
        <f>D119+D122-D123</f>
        <v>230000</v>
      </c>
      <c r="E124" s="891"/>
      <c r="F124" s="891"/>
      <c r="G124" s="891"/>
      <c r="H124" s="901"/>
    </row>
    <row r="125" spans="1:8" ht="14.1" customHeight="1">
      <c r="A125" s="903" t="s">
        <v>540</v>
      </c>
      <c r="B125" s="921">
        <v>0.33333333333333298</v>
      </c>
      <c r="C125" s="891"/>
      <c r="D125" s="891">
        <f>D124*B125</f>
        <v>76666.666666666584</v>
      </c>
      <c r="E125" s="891"/>
      <c r="F125" s="891"/>
      <c r="G125" s="891"/>
      <c r="H125" s="901"/>
    </row>
    <row r="126" spans="1:8" ht="14.1" customHeight="1">
      <c r="A126" s="922" t="s">
        <v>541</v>
      </c>
      <c r="B126" s="893"/>
      <c r="C126" s="893"/>
      <c r="D126" s="893">
        <f>D119-D125</f>
        <v>103333.33333333342</v>
      </c>
      <c r="E126" s="891"/>
      <c r="F126" s="891"/>
      <c r="G126" s="891"/>
      <c r="H126" s="901"/>
    </row>
    <row r="127" spans="1:8" ht="14.1" customHeight="1">
      <c r="A127" s="903"/>
      <c r="B127" s="891"/>
      <c r="C127" s="891"/>
      <c r="D127" s="891"/>
      <c r="E127" s="891"/>
      <c r="F127" s="891"/>
      <c r="G127" s="891"/>
      <c r="H127" s="901"/>
    </row>
    <row r="128" spans="1:8" ht="14.1" customHeight="1">
      <c r="A128" s="903"/>
      <c r="B128" s="891"/>
      <c r="C128" s="891"/>
      <c r="D128" s="891"/>
      <c r="E128" s="891"/>
      <c r="F128" s="891"/>
      <c r="G128" s="891"/>
      <c r="H128" s="901"/>
    </row>
    <row r="129" spans="1:8" ht="14.1" customHeight="1">
      <c r="A129" s="903" t="s">
        <v>542</v>
      </c>
      <c r="B129" s="891"/>
      <c r="C129" s="891"/>
      <c r="D129" s="891"/>
      <c r="E129" s="891">
        <f>D126</f>
        <v>103333.33333333342</v>
      </c>
      <c r="F129" s="891"/>
      <c r="G129" s="891"/>
      <c r="H129" s="901"/>
    </row>
    <row r="130" spans="1:8" ht="14.1" customHeight="1">
      <c r="A130" s="903" t="s">
        <v>266</v>
      </c>
      <c r="B130" s="891"/>
      <c r="C130" s="891"/>
      <c r="D130" s="891"/>
      <c r="E130" s="891">
        <f>D121</f>
        <v>0</v>
      </c>
      <c r="F130" s="891"/>
      <c r="G130" s="891"/>
      <c r="H130" s="901"/>
    </row>
    <row r="131" spans="1:8" ht="14.1" customHeight="1">
      <c r="A131" s="903" t="s">
        <v>543</v>
      </c>
      <c r="B131" s="891"/>
      <c r="C131" s="891"/>
      <c r="D131" s="891"/>
      <c r="E131" s="923">
        <f>D126</f>
        <v>103333.33333333342</v>
      </c>
      <c r="F131" s="891"/>
      <c r="G131" s="891"/>
      <c r="H131" s="901"/>
    </row>
    <row r="132" spans="1:8" ht="14.1" customHeight="1">
      <c r="A132" s="903"/>
      <c r="B132" s="891"/>
      <c r="C132" s="891"/>
      <c r="D132" s="891"/>
      <c r="E132" s="891"/>
      <c r="F132" s="891"/>
      <c r="G132" s="891"/>
      <c r="H132" s="901"/>
    </row>
    <row r="133" spans="1:8" ht="14.1" customHeight="1">
      <c r="A133" s="903" t="s">
        <v>544</v>
      </c>
      <c r="B133" s="908">
        <v>0.05</v>
      </c>
      <c r="C133" s="891" t="s">
        <v>545</v>
      </c>
      <c r="D133" s="891"/>
      <c r="E133" s="891">
        <f>E131*B133</f>
        <v>5166.6666666666715</v>
      </c>
      <c r="F133" s="891"/>
      <c r="G133" s="891"/>
      <c r="H133" s="901"/>
    </row>
    <row r="134" spans="1:8" ht="14.1" customHeight="1">
      <c r="A134" s="903" t="s">
        <v>546</v>
      </c>
      <c r="B134" s="908">
        <v>0.01</v>
      </c>
      <c r="C134" s="891" t="s">
        <v>545</v>
      </c>
      <c r="D134" s="891"/>
      <c r="E134" s="891">
        <f>D116*G116*B134</f>
        <v>60000</v>
      </c>
      <c r="F134" s="891"/>
      <c r="G134" s="891"/>
      <c r="H134" s="901"/>
    </row>
    <row r="135" spans="1:8" ht="14.1" customHeight="1">
      <c r="A135" s="903" t="s">
        <v>547</v>
      </c>
      <c r="B135" s="891"/>
      <c r="C135" s="891"/>
      <c r="D135" s="891"/>
      <c r="E135" s="891">
        <f>E131-SUM(E133:E134)</f>
        <v>38166.666666666744</v>
      </c>
      <c r="F135" s="891"/>
      <c r="G135" s="891"/>
      <c r="H135" s="901"/>
    </row>
    <row r="136" spans="1:8" ht="14.1" customHeight="1">
      <c r="A136" s="903"/>
      <c r="B136" s="891"/>
      <c r="C136" s="891"/>
      <c r="D136" s="891"/>
      <c r="E136" s="891"/>
      <c r="F136" s="891"/>
      <c r="G136" s="891"/>
      <c r="H136" s="901"/>
    </row>
    <row r="137" spans="1:8" ht="14.1" customHeight="1">
      <c r="A137" s="903" t="s">
        <v>548</v>
      </c>
      <c r="B137" s="891"/>
      <c r="C137" s="891"/>
      <c r="D137" s="891"/>
      <c r="E137" s="891">
        <f>D120</f>
        <v>2000</v>
      </c>
      <c r="F137" s="891"/>
      <c r="G137" s="891"/>
      <c r="H137" s="901"/>
    </row>
    <row r="138" spans="1:8" ht="14.1" customHeight="1">
      <c r="A138" s="903" t="s">
        <v>549</v>
      </c>
      <c r="B138" s="908">
        <v>10000</v>
      </c>
      <c r="C138" s="891" t="s">
        <v>545</v>
      </c>
      <c r="D138" s="891"/>
      <c r="E138" s="891">
        <f>B138</f>
        <v>10000</v>
      </c>
      <c r="F138" s="891"/>
      <c r="G138" s="891"/>
      <c r="H138" s="901"/>
    </row>
    <row r="139" spans="1:8" ht="14.1" customHeight="1">
      <c r="A139" s="903" t="s">
        <v>547</v>
      </c>
      <c r="B139" s="891"/>
      <c r="C139" s="891"/>
      <c r="D139" s="891"/>
      <c r="E139" s="923">
        <f>E135-E137-E138</f>
        <v>26166.666666666744</v>
      </c>
      <c r="F139" s="891"/>
      <c r="G139" s="891"/>
      <c r="H139" s="901"/>
    </row>
    <row r="140" spans="1:8" ht="14.1" customHeight="1">
      <c r="A140" s="903" t="s">
        <v>550</v>
      </c>
      <c r="B140" s="891"/>
      <c r="C140" s="891"/>
      <c r="D140" s="891">
        <v>10000</v>
      </c>
      <c r="E140" s="891">
        <f>E139/D140</f>
        <v>2.6166666666666742</v>
      </c>
      <c r="F140" s="891"/>
      <c r="G140" s="891"/>
      <c r="H140" s="901"/>
    </row>
    <row r="141" spans="1:8" ht="14.1" customHeight="1">
      <c r="A141" s="903" t="s">
        <v>551</v>
      </c>
      <c r="B141" s="891"/>
      <c r="C141" s="891"/>
      <c r="D141" s="891">
        <f>ROUNDDOWN(E140,0)</f>
        <v>2</v>
      </c>
      <c r="E141" s="891">
        <f>D140*D141</f>
        <v>20000</v>
      </c>
      <c r="F141" s="891"/>
      <c r="G141" s="891"/>
      <c r="H141" s="901"/>
    </row>
    <row r="142" spans="1:8" ht="14.1" customHeight="1">
      <c r="A142" s="903" t="s">
        <v>552</v>
      </c>
      <c r="B142" s="891"/>
      <c r="C142" s="891"/>
      <c r="D142" s="891"/>
      <c r="E142" s="923">
        <f>E139-E141</f>
        <v>6166.6666666667443</v>
      </c>
      <c r="F142" s="891"/>
      <c r="G142" s="891"/>
      <c r="H142" s="901"/>
    </row>
    <row r="143" spans="1:8" ht="14.1" customHeight="1">
      <c r="A143" s="903"/>
      <c r="B143" s="891"/>
      <c r="C143" s="891"/>
      <c r="D143" s="891"/>
      <c r="E143" s="891"/>
      <c r="F143" s="891"/>
      <c r="G143" s="891"/>
      <c r="H143" s="901"/>
    </row>
    <row r="144" spans="1:8" ht="14.1" customHeight="1">
      <c r="A144" s="903" t="s">
        <v>553</v>
      </c>
      <c r="B144" s="891"/>
      <c r="C144" s="891"/>
      <c r="D144" s="891"/>
      <c r="E144" s="923">
        <f>E134+E141</f>
        <v>80000</v>
      </c>
      <c r="F144" s="891"/>
      <c r="G144" s="891"/>
      <c r="H144" s="901"/>
    </row>
    <row r="145" spans="1:8" ht="14.1" customHeight="1">
      <c r="A145" s="903" t="s">
        <v>554</v>
      </c>
      <c r="B145" s="891"/>
      <c r="C145" s="891"/>
      <c r="D145" s="924">
        <v>0.1</v>
      </c>
      <c r="E145" s="891">
        <f>E144*D145</f>
        <v>8000</v>
      </c>
      <c r="F145" s="891"/>
      <c r="G145" s="891"/>
      <c r="H145" s="901"/>
    </row>
    <row r="146" spans="1:8" ht="14.1" customHeight="1">
      <c r="A146" s="903" t="s">
        <v>555</v>
      </c>
      <c r="B146" s="891"/>
      <c r="C146" s="891"/>
      <c r="D146" s="891"/>
      <c r="E146" s="923">
        <f>E144-E145</f>
        <v>72000</v>
      </c>
      <c r="F146" s="891"/>
      <c r="G146" s="891"/>
      <c r="H146" s="901"/>
    </row>
    <row r="147" spans="1:8" ht="14.1" customHeight="1">
      <c r="A147" s="903"/>
      <c r="B147" s="891"/>
      <c r="C147" s="891"/>
      <c r="D147" s="891"/>
      <c r="E147" s="923"/>
      <c r="F147" s="891"/>
      <c r="G147" s="891"/>
      <c r="H147" s="901"/>
    </row>
    <row r="148" spans="1:8" ht="14.1" customHeight="1">
      <c r="A148" s="903" t="s">
        <v>556</v>
      </c>
      <c r="B148" s="891"/>
      <c r="C148" s="891"/>
      <c r="D148" s="891"/>
      <c r="E148" s="891"/>
      <c r="F148" s="891"/>
      <c r="G148" s="891"/>
      <c r="H148" s="901"/>
    </row>
    <row r="149" spans="1:8" ht="14.1" customHeight="1">
      <c r="A149" s="917">
        <v>891</v>
      </c>
      <c r="B149" s="916" t="s">
        <v>557</v>
      </c>
      <c r="E149" s="891"/>
      <c r="F149" s="891"/>
      <c r="G149" s="891"/>
      <c r="H149" s="901">
        <f>D125</f>
        <v>76666.666666666584</v>
      </c>
    </row>
    <row r="150" spans="1:8" ht="14.1" customHeight="1">
      <c r="A150" s="903"/>
      <c r="B150" s="916">
        <v>441</v>
      </c>
      <c r="C150" s="916" t="s">
        <v>558</v>
      </c>
      <c r="G150" s="891"/>
      <c r="H150" s="901">
        <f>H149</f>
        <v>76666.666666666584</v>
      </c>
    </row>
    <row r="151" spans="1:8" ht="14.1" customHeight="1">
      <c r="A151" s="903"/>
      <c r="B151" s="891"/>
      <c r="C151" s="891"/>
      <c r="D151" s="891"/>
      <c r="E151" s="891"/>
      <c r="F151" s="891"/>
      <c r="G151" s="891"/>
      <c r="H151" s="901"/>
    </row>
    <row r="152" spans="1:8" ht="14.1" customHeight="1">
      <c r="A152" s="1158">
        <v>8600</v>
      </c>
      <c r="B152" s="1159" t="s">
        <v>481</v>
      </c>
      <c r="D152" s="891"/>
      <c r="E152" s="899"/>
      <c r="F152" s="891"/>
      <c r="G152" s="891">
        <f>D119</f>
        <v>180000</v>
      </c>
      <c r="H152" s="901"/>
    </row>
    <row r="153" spans="1:8" ht="14.1" customHeight="1">
      <c r="A153" s="903"/>
      <c r="B153" s="891">
        <v>891</v>
      </c>
      <c r="C153" s="891" t="s">
        <v>557</v>
      </c>
      <c r="F153" s="891"/>
      <c r="G153" s="891"/>
      <c r="H153" s="901">
        <f>H149</f>
        <v>76666.666666666584</v>
      </c>
    </row>
    <row r="154" spans="1:8" ht="14.1" customHeight="1">
      <c r="A154" s="903"/>
      <c r="B154" s="891">
        <v>1301</v>
      </c>
      <c r="C154" s="891" t="s">
        <v>559</v>
      </c>
      <c r="F154" s="891"/>
      <c r="G154" s="891"/>
      <c r="H154" s="901">
        <f>E131</f>
        <v>103333.33333333342</v>
      </c>
    </row>
    <row r="155" spans="1:8" ht="14.1" customHeight="1">
      <c r="A155" s="903"/>
      <c r="B155" s="891"/>
      <c r="C155" s="891"/>
      <c r="F155" s="891"/>
      <c r="G155" s="891"/>
      <c r="H155" s="901"/>
    </row>
    <row r="156" spans="1:8" ht="14.1" customHeight="1">
      <c r="A156" s="903" t="s">
        <v>560</v>
      </c>
      <c r="B156" s="891"/>
      <c r="C156" s="891"/>
      <c r="D156" s="891"/>
      <c r="E156" s="891"/>
      <c r="F156" s="891"/>
      <c r="G156" s="891"/>
      <c r="H156" s="901"/>
    </row>
    <row r="157" spans="1:8" ht="14.1" customHeight="1">
      <c r="A157" s="1158">
        <v>1301</v>
      </c>
      <c r="B157" s="1159" t="s">
        <v>559</v>
      </c>
      <c r="D157" s="891"/>
      <c r="E157" s="899"/>
      <c r="F157" s="891"/>
      <c r="G157" s="891">
        <f>E131</f>
        <v>103333.33333333342</v>
      </c>
      <c r="H157" s="901"/>
    </row>
    <row r="158" spans="1:8" ht="14.1" customHeight="1">
      <c r="A158" s="925">
        <v>121</v>
      </c>
      <c r="B158" s="926" t="s">
        <v>265</v>
      </c>
      <c r="D158" s="891"/>
      <c r="E158" s="899"/>
      <c r="F158" s="891"/>
      <c r="G158" s="891">
        <f>E137</f>
        <v>2000</v>
      </c>
      <c r="H158" s="901"/>
    </row>
    <row r="159" spans="1:8" ht="14.1" customHeight="1">
      <c r="A159" s="903"/>
      <c r="B159" s="891">
        <v>129</v>
      </c>
      <c r="C159" s="891" t="s">
        <v>561</v>
      </c>
      <c r="E159" s="891"/>
      <c r="F159" s="891"/>
      <c r="G159" s="891"/>
      <c r="H159" s="901">
        <f>D121</f>
        <v>0</v>
      </c>
    </row>
    <row r="160" spans="1:8" ht="14.1" customHeight="1">
      <c r="A160" s="903"/>
      <c r="B160" s="904">
        <v>111</v>
      </c>
      <c r="C160" s="898" t="s">
        <v>263</v>
      </c>
      <c r="E160" s="891"/>
      <c r="F160" s="891"/>
      <c r="G160" s="891"/>
      <c r="H160" s="901">
        <f>E133</f>
        <v>5166.6666666666715</v>
      </c>
    </row>
    <row r="161" spans="1:8" ht="14.1" customHeight="1">
      <c r="A161" s="903"/>
      <c r="B161" s="904">
        <v>112</v>
      </c>
      <c r="C161" s="898" t="s">
        <v>172</v>
      </c>
      <c r="E161" s="891"/>
      <c r="F161" s="891"/>
      <c r="G161" s="891"/>
      <c r="H161" s="901">
        <f>E138</f>
        <v>10000</v>
      </c>
    </row>
    <row r="162" spans="1:8" ht="14.1" customHeight="1">
      <c r="A162" s="903"/>
      <c r="B162" s="904">
        <v>1181</v>
      </c>
      <c r="C162" s="898" t="s">
        <v>529</v>
      </c>
      <c r="E162" s="891"/>
      <c r="F162" s="891"/>
      <c r="G162" s="891"/>
      <c r="H162" s="901">
        <f>E134</f>
        <v>60000</v>
      </c>
    </row>
    <row r="163" spans="1:8" ht="14.1" customHeight="1">
      <c r="A163" s="903"/>
      <c r="B163" s="927">
        <v>465</v>
      </c>
      <c r="C163" s="926" t="s">
        <v>288</v>
      </c>
      <c r="E163" s="891"/>
      <c r="F163" s="891"/>
      <c r="G163" s="891"/>
      <c r="H163" s="901">
        <f>E144</f>
        <v>80000</v>
      </c>
    </row>
    <row r="164" spans="1:8" ht="14.1" customHeight="1">
      <c r="A164" s="903"/>
      <c r="B164" s="916">
        <v>4424</v>
      </c>
      <c r="C164" s="916" t="s">
        <v>482</v>
      </c>
      <c r="E164" s="891"/>
      <c r="F164" s="891"/>
      <c r="G164" s="891"/>
      <c r="H164" s="901">
        <f>E145</f>
        <v>8000</v>
      </c>
    </row>
    <row r="165" spans="1:8" ht="14.1" customHeight="1">
      <c r="A165" s="910"/>
      <c r="B165" s="911">
        <v>121</v>
      </c>
      <c r="C165" s="911" t="s">
        <v>265</v>
      </c>
      <c r="D165" s="928"/>
      <c r="E165" s="911"/>
      <c r="F165" s="911"/>
      <c r="G165" s="911"/>
      <c r="H165" s="912">
        <f>E142</f>
        <v>6166.6666666667443</v>
      </c>
    </row>
  </sheetData>
  <mergeCells count="1">
    <mergeCell ref="B100:C100"/>
  </mergeCells>
  <pageMargins left="0.7" right="0.7" top="0.75" bottom="0.75" header="0.3" footer="0.3"/>
  <pageSetup paperSize="9" orientation="portrait" horizontalDpi="4294967293" r:id="rId1"/>
  <legacyDrawing r:id="rId2"/>
</worksheet>
</file>

<file path=xl/worksheets/sheet15.xml><?xml version="1.0" encoding="utf-8"?>
<worksheet xmlns="http://schemas.openxmlformats.org/spreadsheetml/2006/main" xmlns:r="http://schemas.openxmlformats.org/officeDocument/2006/relationships">
  <sheetPr codeName="Feuil16"/>
  <dimension ref="A2:H175"/>
  <sheetViews>
    <sheetView workbookViewId="0">
      <pane ySplit="2" topLeftCell="A3" activePane="bottomLeft" state="frozen"/>
      <selection pane="bottomLeft" activeCell="H7" sqref="H7"/>
    </sheetView>
  </sheetViews>
  <sheetFormatPr baseColWidth="10" defaultRowHeight="14.1" customHeight="1"/>
  <cols>
    <col min="1" max="1" width="12.28515625" style="782" customWidth="1"/>
    <col min="2" max="2" width="35" style="782" customWidth="1"/>
    <col min="3" max="6" width="12.28515625" style="782" customWidth="1"/>
    <col min="7" max="7" width="15.42578125" style="782" customWidth="1"/>
    <col min="8" max="8" width="19.5703125" style="782" customWidth="1"/>
    <col min="9" max="1024" width="12.28515625" style="782" customWidth="1"/>
    <col min="1025" max="16384" width="11.42578125" style="782"/>
  </cols>
  <sheetData>
    <row r="2" spans="1:8" ht="33" customHeight="1">
      <c r="A2" s="1694" t="s">
        <v>220</v>
      </c>
      <c r="B2" s="1694"/>
      <c r="C2" s="1694"/>
      <c r="D2" s="1694"/>
      <c r="E2" s="1694"/>
      <c r="F2" s="1694"/>
      <c r="G2" s="1694"/>
      <c r="H2" s="1694"/>
    </row>
    <row r="3" spans="1:8" ht="14.1" customHeight="1">
      <c r="A3" s="1162" t="s">
        <v>1022</v>
      </c>
      <c r="B3" s="783"/>
      <c r="C3" s="783"/>
      <c r="D3" s="783"/>
      <c r="E3" s="783"/>
      <c r="F3" s="783"/>
      <c r="G3" s="783"/>
      <c r="H3" s="784"/>
    </row>
    <row r="4" spans="1:8" ht="14.1" customHeight="1">
      <c r="A4" s="785"/>
      <c r="B4" s="786"/>
      <c r="C4" s="786"/>
      <c r="D4" s="786"/>
      <c r="E4" s="786"/>
      <c r="F4" s="786"/>
      <c r="G4" s="786"/>
      <c r="H4" s="787"/>
    </row>
    <row r="5" spans="1:8" ht="14.1" customHeight="1">
      <c r="A5" s="788">
        <v>520</v>
      </c>
      <c r="B5" s="789" t="s">
        <v>170</v>
      </c>
      <c r="C5" s="786"/>
      <c r="D5" s="786"/>
      <c r="E5" s="786"/>
      <c r="F5" s="786"/>
      <c r="G5" s="786">
        <f>SUM(H6:H7)</f>
        <v>1185000</v>
      </c>
      <c r="H5" s="787"/>
    </row>
    <row r="6" spans="1:8" ht="14.1" customHeight="1">
      <c r="A6" s="785"/>
      <c r="B6" s="790">
        <v>44312</v>
      </c>
      <c r="C6" s="790" t="s">
        <v>484</v>
      </c>
      <c r="D6" s="791">
        <v>0.185</v>
      </c>
      <c r="E6" s="786"/>
      <c r="F6" s="786"/>
      <c r="G6" s="786"/>
      <c r="H6" s="787">
        <f>H7*D6</f>
        <v>185000</v>
      </c>
    </row>
    <row r="7" spans="1:8" ht="14.1" customHeight="1">
      <c r="A7" s="792"/>
      <c r="B7" s="793">
        <v>7011</v>
      </c>
      <c r="C7" s="794" t="s">
        <v>569</v>
      </c>
      <c r="D7" s="793"/>
      <c r="E7" s="793"/>
      <c r="F7" s="793"/>
      <c r="G7" s="793"/>
      <c r="H7" s="795">
        <v>1000000</v>
      </c>
    </row>
    <row r="8" spans="1:8" ht="14.1" customHeight="1">
      <c r="A8" s="785"/>
      <c r="B8" s="786"/>
      <c r="C8" s="796"/>
      <c r="D8" s="786"/>
      <c r="E8" s="786"/>
      <c r="F8" s="786"/>
      <c r="G8" s="786"/>
      <c r="H8" s="786"/>
    </row>
    <row r="9" spans="1:8" ht="14.1" customHeight="1">
      <c r="A9" s="1162" t="s">
        <v>1023</v>
      </c>
      <c r="B9" s="783"/>
      <c r="C9" s="783"/>
      <c r="D9" s="783"/>
      <c r="E9" s="783"/>
      <c r="F9" s="783"/>
      <c r="G9" s="783"/>
      <c r="H9" s="784"/>
    </row>
    <row r="10" spans="1:8" ht="14.1" customHeight="1">
      <c r="A10" s="785"/>
      <c r="B10" s="786"/>
      <c r="C10" s="786"/>
      <c r="D10" s="786"/>
      <c r="E10" s="786"/>
      <c r="F10" s="786"/>
      <c r="G10" s="786"/>
      <c r="H10" s="787"/>
    </row>
    <row r="11" spans="1:8" ht="14.1" customHeight="1">
      <c r="A11" s="788">
        <v>411</v>
      </c>
      <c r="B11" s="797" t="s">
        <v>326</v>
      </c>
      <c r="C11" s="786"/>
      <c r="D11" s="786"/>
      <c r="E11" s="786"/>
      <c r="F11" s="786"/>
      <c r="G11" s="786">
        <f>SUM(H12:H13)</f>
        <v>1185000</v>
      </c>
      <c r="H11" s="787"/>
    </row>
    <row r="12" spans="1:8" ht="14.1" customHeight="1">
      <c r="A12" s="785"/>
      <c r="B12" s="790">
        <v>44312</v>
      </c>
      <c r="C12" s="790" t="s">
        <v>484</v>
      </c>
      <c r="D12" s="791">
        <v>0.185</v>
      </c>
      <c r="E12" s="786"/>
      <c r="F12" s="786"/>
      <c r="G12" s="786"/>
      <c r="H12" s="787">
        <f>H13*D12</f>
        <v>185000</v>
      </c>
    </row>
    <row r="13" spans="1:8" ht="14.1" customHeight="1">
      <c r="A13" s="792"/>
      <c r="B13" s="793">
        <v>7011</v>
      </c>
      <c r="C13" s="794" t="s">
        <v>569</v>
      </c>
      <c r="D13" s="793"/>
      <c r="E13" s="793"/>
      <c r="F13" s="793"/>
      <c r="G13" s="793"/>
      <c r="H13" s="795">
        <v>1000000</v>
      </c>
    </row>
    <row r="14" spans="1:8" ht="14.1" customHeight="1">
      <c r="A14" s="785"/>
      <c r="B14" s="786"/>
      <c r="C14" s="796"/>
      <c r="D14" s="786"/>
      <c r="E14" s="786"/>
      <c r="F14" s="786"/>
      <c r="G14" s="786"/>
      <c r="H14" s="786"/>
    </row>
    <row r="15" spans="1:8" ht="14.1" customHeight="1">
      <c r="A15" s="1162" t="s">
        <v>221</v>
      </c>
      <c r="B15" s="783"/>
      <c r="C15" s="783"/>
      <c r="D15" s="783"/>
      <c r="E15" s="783"/>
      <c r="F15" s="783"/>
      <c r="G15" s="783"/>
      <c r="H15" s="784"/>
    </row>
    <row r="16" spans="1:8" ht="14.1" customHeight="1">
      <c r="A16" s="788">
        <v>520</v>
      </c>
      <c r="B16" s="789" t="s">
        <v>170</v>
      </c>
      <c r="C16" s="786"/>
      <c r="D16" s="786"/>
      <c r="E16" s="786"/>
      <c r="F16" s="786"/>
      <c r="G16" s="795">
        <v>50000</v>
      </c>
      <c r="H16" s="787"/>
    </row>
    <row r="17" spans="1:8" ht="14.1" customHeight="1">
      <c r="A17" s="785"/>
      <c r="B17" s="798">
        <v>419</v>
      </c>
      <c r="C17" s="799" t="s">
        <v>167</v>
      </c>
      <c r="D17" s="786"/>
      <c r="E17" s="786"/>
      <c r="F17" s="786"/>
      <c r="G17" s="786"/>
      <c r="H17" s="787">
        <f>G16</f>
        <v>50000</v>
      </c>
    </row>
    <row r="18" spans="1:8" ht="14.1" customHeight="1">
      <c r="A18" s="785"/>
      <c r="B18" s="786"/>
      <c r="C18" s="786"/>
      <c r="D18" s="786"/>
      <c r="E18" s="786"/>
      <c r="F18" s="786"/>
      <c r="G18" s="786"/>
      <c r="H18" s="787"/>
    </row>
    <row r="19" spans="1:8" ht="14.1" customHeight="1">
      <c r="A19" s="1163" t="s">
        <v>568</v>
      </c>
      <c r="B19" s="786"/>
      <c r="C19" s="786"/>
      <c r="D19" s="786"/>
      <c r="E19" s="786"/>
      <c r="F19" s="786"/>
      <c r="G19" s="786"/>
      <c r="H19" s="787"/>
    </row>
    <row r="20" spans="1:8" ht="14.1" customHeight="1">
      <c r="A20" s="788">
        <v>411</v>
      </c>
      <c r="B20" s="797" t="s">
        <v>326</v>
      </c>
      <c r="C20" s="786"/>
      <c r="D20" s="786"/>
      <c r="E20" s="786"/>
      <c r="F20" s="786"/>
      <c r="G20" s="786">
        <f>SUM(H22:H23)-G21</f>
        <v>68500</v>
      </c>
      <c r="H20" s="787"/>
    </row>
    <row r="21" spans="1:8" ht="14.1" customHeight="1">
      <c r="A21" s="800">
        <v>419</v>
      </c>
      <c r="B21" s="799" t="s">
        <v>167</v>
      </c>
      <c r="C21" s="786"/>
      <c r="D21" s="786"/>
      <c r="E21" s="786"/>
      <c r="F21" s="786"/>
      <c r="G21" s="786">
        <f>H17</f>
        <v>50000</v>
      </c>
      <c r="H21" s="787"/>
    </row>
    <row r="22" spans="1:8" ht="14.1" customHeight="1">
      <c r="A22" s="785"/>
      <c r="B22" s="790">
        <v>44312</v>
      </c>
      <c r="C22" s="790" t="s">
        <v>484</v>
      </c>
      <c r="D22" s="791">
        <v>0.185</v>
      </c>
      <c r="E22" s="786"/>
      <c r="F22" s="786"/>
      <c r="G22" s="786"/>
      <c r="H22" s="787">
        <f>H23*D22</f>
        <v>18500</v>
      </c>
    </row>
    <row r="23" spans="1:8" ht="14.1" customHeight="1">
      <c r="A23" s="792"/>
      <c r="B23" s="793">
        <v>7011</v>
      </c>
      <c r="C23" s="794" t="s">
        <v>569</v>
      </c>
      <c r="D23" s="793"/>
      <c r="E23" s="793"/>
      <c r="F23" s="793"/>
      <c r="G23" s="793"/>
      <c r="H23" s="795">
        <v>100000</v>
      </c>
    </row>
    <row r="24" spans="1:8" ht="14.1" customHeight="1">
      <c r="A24" s="556" t="s">
        <v>1112</v>
      </c>
      <c r="B24" s="714"/>
      <c r="C24" s="715"/>
      <c r="D24" s="558"/>
      <c r="E24" s="558"/>
      <c r="F24" s="558"/>
      <c r="G24" s="558"/>
      <c r="H24" s="559"/>
    </row>
    <row r="25" spans="1:8" ht="14.1" customHeight="1">
      <c r="A25" s="556">
        <f>A16</f>
        <v>520</v>
      </c>
      <c r="B25" s="558" t="str">
        <f>B16</f>
        <v>Banques cpte en monnaie nationale</v>
      </c>
      <c r="C25" s="715"/>
      <c r="D25" s="558">
        <f>B17</f>
        <v>419</v>
      </c>
      <c r="E25" s="558" t="str">
        <f>C17</f>
        <v>clients  acptes et avces  recus</v>
      </c>
      <c r="F25" s="558"/>
      <c r="G25" s="558"/>
      <c r="H25" s="559">
        <f>G16</f>
        <v>50000</v>
      </c>
    </row>
    <row r="26" spans="1:8" ht="14.1" customHeight="1">
      <c r="A26" s="556">
        <f>A20</f>
        <v>411</v>
      </c>
      <c r="B26" s="558" t="str">
        <f>B20</f>
        <v>Clients</v>
      </c>
      <c r="C26" s="558"/>
      <c r="D26" s="558">
        <f>B23</f>
        <v>7011</v>
      </c>
      <c r="E26" s="558" t="str">
        <f t="shared" ref="E26" si="0">C23</f>
        <v>Ventes Mach  &amp; P fini  à 18,5%</v>
      </c>
      <c r="F26" s="558"/>
      <c r="G26" s="558"/>
      <c r="H26" s="559">
        <f>H23*(1+D22)</f>
        <v>118500</v>
      </c>
    </row>
    <row r="27" spans="1:8" ht="14.1" customHeight="1">
      <c r="A27" s="556" t="s">
        <v>1479</v>
      </c>
      <c r="B27" s="558"/>
      <c r="C27" s="558"/>
      <c r="D27" s="558"/>
      <c r="E27" s="558"/>
      <c r="F27" s="558"/>
      <c r="G27" s="558"/>
      <c r="H27" s="559"/>
    </row>
    <row r="28" spans="1:8" ht="14.1" customHeight="1">
      <c r="A28" s="556">
        <f>A25</f>
        <v>520</v>
      </c>
      <c r="B28" s="556" t="str">
        <f>B25</f>
        <v>Banques cpte en monnaie nationale</v>
      </c>
      <c r="C28" s="558"/>
      <c r="D28" s="558">
        <f>A26</f>
        <v>411</v>
      </c>
      <c r="E28" s="558" t="str">
        <f t="shared" ref="E28" si="1">B26</f>
        <v>Clients</v>
      </c>
      <c r="F28" s="558"/>
      <c r="G28" s="558"/>
      <c r="H28" s="559">
        <f>G20</f>
        <v>68500</v>
      </c>
    </row>
    <row r="29" spans="1:8" ht="14.1" customHeight="1">
      <c r="A29" s="561">
        <f>D25</f>
        <v>419</v>
      </c>
      <c r="B29" s="561" t="str">
        <f>E25</f>
        <v>clients  acptes et avces  recus</v>
      </c>
      <c r="C29" s="562"/>
      <c r="D29" s="562">
        <f>D28</f>
        <v>411</v>
      </c>
      <c r="E29" s="562" t="str">
        <f>E28</f>
        <v>Clients</v>
      </c>
      <c r="F29" s="562"/>
      <c r="G29" s="562"/>
      <c r="H29" s="563">
        <f>H25</f>
        <v>50000</v>
      </c>
    </row>
    <row r="31" spans="1:8" ht="14.1" customHeight="1">
      <c r="A31" s="1164" t="s">
        <v>570</v>
      </c>
      <c r="B31" s="801"/>
      <c r="C31" s="801"/>
      <c r="D31" s="801"/>
      <c r="E31" s="801"/>
      <c r="F31" s="801"/>
      <c r="G31" s="801"/>
      <c r="H31" s="802"/>
    </row>
    <row r="32" spans="1:8" ht="14.1" customHeight="1">
      <c r="A32" s="803">
        <v>411</v>
      </c>
      <c r="B32" s="797" t="s">
        <v>326</v>
      </c>
      <c r="C32" s="786"/>
      <c r="D32" s="786"/>
      <c r="E32" s="786"/>
      <c r="F32" s="786"/>
      <c r="G32" s="786">
        <f>SUM(H33:H35)</f>
        <v>1208700</v>
      </c>
      <c r="H32" s="804"/>
    </row>
    <row r="33" spans="1:8" ht="14.1" customHeight="1">
      <c r="A33" s="805"/>
      <c r="B33" s="790">
        <v>44312</v>
      </c>
      <c r="C33" s="790" t="s">
        <v>484</v>
      </c>
      <c r="D33" s="806">
        <v>0.185</v>
      </c>
      <c r="E33" s="786"/>
      <c r="F33" s="786"/>
      <c r="G33" s="786"/>
      <c r="H33" s="804">
        <f>(H34+H35)*D33</f>
        <v>188700</v>
      </c>
    </row>
    <row r="34" spans="1:8" ht="14.1" customHeight="1">
      <c r="A34" s="805"/>
      <c r="B34" s="786">
        <v>7011</v>
      </c>
      <c r="C34" s="796" t="s">
        <v>569</v>
      </c>
      <c r="D34" s="786"/>
      <c r="E34" s="786"/>
      <c r="F34" s="786"/>
      <c r="G34" s="786"/>
      <c r="H34" s="807">
        <v>1000000</v>
      </c>
    </row>
    <row r="35" spans="1:8" ht="14.1" customHeight="1">
      <c r="A35" s="805"/>
      <c r="B35" s="808" t="s">
        <v>251</v>
      </c>
      <c r="C35" s="789" t="s">
        <v>370</v>
      </c>
      <c r="D35" s="786"/>
      <c r="E35" s="786"/>
      <c r="F35" s="786"/>
      <c r="G35" s="786"/>
      <c r="H35" s="807">
        <v>20000</v>
      </c>
    </row>
    <row r="36" spans="1:8" ht="14.1" customHeight="1">
      <c r="A36" s="556" t="s">
        <v>1112</v>
      </c>
      <c r="B36" s="714"/>
      <c r="C36" s="715"/>
      <c r="D36" s="558"/>
      <c r="E36" s="558"/>
      <c r="F36" s="558"/>
      <c r="G36" s="558"/>
      <c r="H36" s="559"/>
    </row>
    <row r="37" spans="1:8" ht="14.1" customHeight="1">
      <c r="A37" s="556">
        <f>A32</f>
        <v>411</v>
      </c>
      <c r="B37" s="558" t="str">
        <f>B32</f>
        <v>Clients</v>
      </c>
      <c r="C37" s="715"/>
      <c r="D37" s="558">
        <f>B34</f>
        <v>7011</v>
      </c>
      <c r="E37" s="558" t="str">
        <f>C34</f>
        <v>Ventes Mach  &amp; P fini  à 18,5%</v>
      </c>
      <c r="F37" s="558"/>
      <c r="G37" s="558"/>
      <c r="H37" s="559">
        <f>H34*(1+D33)</f>
        <v>1185000</v>
      </c>
    </row>
    <row r="38" spans="1:8" ht="14.1" customHeight="1">
      <c r="A38" s="556">
        <f>A32</f>
        <v>411</v>
      </c>
      <c r="B38" s="558" t="str">
        <f>B32</f>
        <v>Clients</v>
      </c>
      <c r="C38" s="558"/>
      <c r="D38" s="558" t="str">
        <f>B35</f>
        <v>612</v>
      </c>
      <c r="E38" s="558" t="str">
        <f t="shared" ref="E38" si="2">C35</f>
        <v>Frais de transport sur vente</v>
      </c>
      <c r="F38" s="558"/>
      <c r="G38" s="558"/>
      <c r="H38" s="559">
        <f>H35*(1+D33)</f>
        <v>23700</v>
      </c>
    </row>
    <row r="39" spans="1:8" ht="14.1" customHeight="1">
      <c r="A39" s="556" t="s">
        <v>1479</v>
      </c>
      <c r="B39" s="558"/>
      <c r="C39" s="558"/>
      <c r="D39" s="558"/>
      <c r="E39" s="558"/>
      <c r="F39" s="558"/>
      <c r="G39" s="558"/>
      <c r="H39" s="559"/>
    </row>
    <row r="40" spans="1:8" ht="14.1" customHeight="1">
      <c r="A40" s="809">
        <v>520</v>
      </c>
      <c r="B40" s="810" t="s">
        <v>170</v>
      </c>
      <c r="C40" s="562"/>
      <c r="D40" s="562">
        <f>A38</f>
        <v>411</v>
      </c>
      <c r="E40" s="562" t="str">
        <f t="shared" ref="E40" si="3">B38</f>
        <v>Clients</v>
      </c>
      <c r="F40" s="562"/>
      <c r="G40" s="562"/>
      <c r="H40" s="563">
        <f>G32</f>
        <v>1208700</v>
      </c>
    </row>
    <row r="41" spans="1:8" ht="14.1" customHeight="1">
      <c r="A41" s="811"/>
      <c r="B41" s="811"/>
      <c r="C41" s="811"/>
      <c r="D41" s="811"/>
      <c r="E41" s="811"/>
      <c r="F41" s="811"/>
      <c r="G41" s="811"/>
      <c r="H41" s="811"/>
    </row>
    <row r="42" spans="1:8" ht="14.1" customHeight="1">
      <c r="A42" s="1164" t="s">
        <v>571</v>
      </c>
      <c r="B42" s="801"/>
      <c r="C42" s="801"/>
      <c r="D42" s="801"/>
      <c r="E42" s="801"/>
      <c r="F42" s="801"/>
      <c r="G42" s="801"/>
      <c r="H42" s="802"/>
    </row>
    <row r="43" spans="1:8" ht="14.1" customHeight="1">
      <c r="A43" s="803">
        <v>4115</v>
      </c>
      <c r="B43" s="812" t="s">
        <v>327</v>
      </c>
      <c r="C43" s="786"/>
      <c r="D43" s="786"/>
      <c r="E43" s="786"/>
      <c r="F43" s="786"/>
      <c r="G43" s="813">
        <v>2000000</v>
      </c>
      <c r="H43" s="804"/>
    </row>
    <row r="44" spans="1:8" ht="14.1" customHeight="1">
      <c r="A44" s="805"/>
      <c r="B44" s="786">
        <v>7022</v>
      </c>
      <c r="C44" s="796" t="s">
        <v>572</v>
      </c>
      <c r="D44" s="786"/>
      <c r="E44" s="786"/>
      <c r="F44" s="786"/>
      <c r="G44" s="786"/>
      <c r="H44" s="804">
        <f>G43</f>
        <v>2000000</v>
      </c>
    </row>
    <row r="45" spans="1:8" ht="14.1" customHeight="1">
      <c r="A45" s="556" t="s">
        <v>1112</v>
      </c>
      <c r="B45" s="558"/>
      <c r="C45" s="558"/>
      <c r="D45" s="558"/>
      <c r="E45" s="558"/>
      <c r="F45" s="558"/>
      <c r="G45" s="558"/>
      <c r="H45" s="559"/>
    </row>
    <row r="46" spans="1:8" ht="14.1" customHeight="1">
      <c r="A46" s="556">
        <f>A43</f>
        <v>4115</v>
      </c>
      <c r="B46" s="558" t="str">
        <f>B43</f>
        <v>client et organismes étrangers</v>
      </c>
      <c r="C46" s="558"/>
      <c r="D46" s="558">
        <f>B44</f>
        <v>7022</v>
      </c>
      <c r="E46" s="558" t="str">
        <f>C44</f>
        <v>Ventes Mach  &amp; P fini UEMOA  &amp; RDM à 18.5%</v>
      </c>
      <c r="F46" s="558"/>
      <c r="G46" s="558"/>
      <c r="H46" s="559">
        <f>H44</f>
        <v>2000000</v>
      </c>
    </row>
    <row r="47" spans="1:8" ht="14.1" customHeight="1">
      <c r="A47" s="556" t="s">
        <v>1479</v>
      </c>
      <c r="B47" s="558"/>
      <c r="C47" s="558"/>
      <c r="D47" s="558"/>
      <c r="E47" s="558"/>
      <c r="F47" s="558"/>
      <c r="G47" s="558"/>
      <c r="H47" s="559"/>
    </row>
    <row r="48" spans="1:8" ht="14.1" customHeight="1">
      <c r="A48" s="809">
        <v>520</v>
      </c>
      <c r="B48" s="810" t="s">
        <v>170</v>
      </c>
      <c r="C48" s="562"/>
      <c r="D48" s="562">
        <f>A46</f>
        <v>4115</v>
      </c>
      <c r="E48" s="562" t="str">
        <f t="shared" ref="E48" si="4">B46</f>
        <v>client et organismes étrangers</v>
      </c>
      <c r="F48" s="562"/>
      <c r="G48" s="562"/>
      <c r="H48" s="563">
        <f>H46</f>
        <v>2000000</v>
      </c>
    </row>
    <row r="49" spans="1:8" ht="14.1" customHeight="1">
      <c r="A49" s="811"/>
      <c r="B49" s="811"/>
      <c r="C49" s="811"/>
      <c r="D49" s="811"/>
      <c r="E49" s="811"/>
      <c r="F49" s="811"/>
      <c r="G49" s="811"/>
      <c r="H49" s="811"/>
    </row>
    <row r="50" spans="1:8" ht="14.1" customHeight="1">
      <c r="A50" s="1162" t="s">
        <v>224</v>
      </c>
      <c r="B50" s="783"/>
      <c r="C50" s="783"/>
      <c r="D50" s="783"/>
      <c r="E50" s="783"/>
      <c r="F50" s="783"/>
      <c r="G50" s="783"/>
      <c r="H50" s="784"/>
    </row>
    <row r="51" spans="1:8" ht="14.1" customHeight="1">
      <c r="A51" s="785"/>
      <c r="B51" s="786"/>
      <c r="C51" s="786"/>
      <c r="D51" s="786"/>
      <c r="E51" s="786"/>
      <c r="F51" s="786"/>
      <c r="G51" s="786"/>
      <c r="H51" s="787"/>
    </row>
    <row r="52" spans="1:8" ht="14.1" customHeight="1">
      <c r="A52" s="788">
        <v>411</v>
      </c>
      <c r="B52" s="797" t="s">
        <v>326</v>
      </c>
      <c r="C52" s="786"/>
      <c r="D52" s="786"/>
      <c r="E52" s="786"/>
      <c r="F52" s="786"/>
      <c r="G52" s="786">
        <f>SUM(H53:H54)</f>
        <v>1185000</v>
      </c>
      <c r="H52" s="787"/>
    </row>
    <row r="53" spans="1:8" ht="14.1" customHeight="1">
      <c r="A53" s="785"/>
      <c r="B53" s="790">
        <v>44312</v>
      </c>
      <c r="C53" s="790" t="s">
        <v>484</v>
      </c>
      <c r="D53" s="791">
        <v>0.185</v>
      </c>
      <c r="E53" s="786"/>
      <c r="F53" s="786"/>
      <c r="G53" s="786"/>
      <c r="H53" s="787">
        <f>H54*D53</f>
        <v>185000</v>
      </c>
    </row>
    <row r="54" spans="1:8" ht="14.1" customHeight="1">
      <c r="A54" s="792"/>
      <c r="B54" s="793">
        <v>7011</v>
      </c>
      <c r="C54" s="794" t="s">
        <v>569</v>
      </c>
      <c r="D54" s="793"/>
      <c r="E54" s="793"/>
      <c r="F54" s="793"/>
      <c r="G54" s="793"/>
      <c r="H54" s="795">
        <v>1000000</v>
      </c>
    </row>
    <row r="55" spans="1:8" ht="14.1" customHeight="1">
      <c r="A55" s="556" t="s">
        <v>1112</v>
      </c>
      <c r="B55" s="558"/>
      <c r="C55" s="558"/>
      <c r="D55" s="558"/>
      <c r="E55" s="558"/>
      <c r="F55" s="558"/>
      <c r="G55" s="558"/>
      <c r="H55" s="559"/>
    </row>
    <row r="56" spans="1:8" ht="14.1" customHeight="1">
      <c r="A56" s="556">
        <f>A52</f>
        <v>411</v>
      </c>
      <c r="B56" s="556" t="str">
        <f>B52</f>
        <v>Clients</v>
      </c>
      <c r="C56" s="558"/>
      <c r="D56" s="558">
        <f>B54</f>
        <v>7011</v>
      </c>
      <c r="E56" s="558" t="str">
        <f>C54</f>
        <v>Ventes Mach  &amp; P fini  à 18,5%</v>
      </c>
      <c r="F56" s="558"/>
      <c r="G56" s="558"/>
      <c r="H56" s="559">
        <f>G52</f>
        <v>1185000</v>
      </c>
    </row>
    <row r="57" spans="1:8" ht="14.1" customHeight="1">
      <c r="A57" s="556" t="s">
        <v>1479</v>
      </c>
      <c r="B57" s="558"/>
      <c r="C57" s="558"/>
      <c r="D57" s="558"/>
      <c r="E57" s="558"/>
      <c r="F57" s="558"/>
      <c r="G57" s="558"/>
      <c r="H57" s="559"/>
    </row>
    <row r="58" spans="1:8" ht="14.1" customHeight="1">
      <c r="A58" s="809">
        <v>520</v>
      </c>
      <c r="B58" s="810" t="s">
        <v>170</v>
      </c>
      <c r="C58" s="562"/>
      <c r="D58" s="562">
        <f>A56</f>
        <v>411</v>
      </c>
      <c r="E58" s="562" t="str">
        <f t="shared" ref="E58" si="5">B56</f>
        <v>Clients</v>
      </c>
      <c r="F58" s="562"/>
      <c r="G58" s="562"/>
      <c r="H58" s="563">
        <f>H56</f>
        <v>1185000</v>
      </c>
    </row>
    <row r="59" spans="1:8" ht="14.1" customHeight="1">
      <c r="A59" s="811"/>
      <c r="B59" s="811"/>
      <c r="C59" s="811"/>
      <c r="D59" s="811"/>
      <c r="E59" s="811"/>
      <c r="F59" s="811"/>
      <c r="G59" s="811"/>
      <c r="H59" s="811"/>
    </row>
    <row r="60" spans="1:8" ht="14.1" customHeight="1">
      <c r="A60" s="811"/>
      <c r="B60" s="811"/>
      <c r="C60" s="811"/>
      <c r="D60" s="811"/>
      <c r="E60" s="811"/>
      <c r="F60" s="811"/>
      <c r="G60" s="811"/>
      <c r="H60" s="811"/>
    </row>
    <row r="61" spans="1:8" ht="14.1" customHeight="1">
      <c r="A61" s="1164" t="s">
        <v>573</v>
      </c>
      <c r="B61" s="801"/>
      <c r="C61" s="801"/>
      <c r="D61" s="801"/>
      <c r="E61" s="801"/>
      <c r="F61" s="801"/>
      <c r="G61" s="801"/>
      <c r="H61" s="802"/>
    </row>
    <row r="62" spans="1:8" ht="14.1" customHeight="1">
      <c r="A62" s="805">
        <v>7011</v>
      </c>
      <c r="B62" s="796" t="s">
        <v>778</v>
      </c>
      <c r="C62" s="786"/>
      <c r="D62" s="786"/>
      <c r="E62" s="786"/>
      <c r="F62" s="786"/>
      <c r="G62" s="795">
        <v>1000000</v>
      </c>
      <c r="H62" s="804"/>
    </row>
    <row r="63" spans="1:8" ht="14.1" customHeight="1">
      <c r="A63" s="790">
        <v>44312</v>
      </c>
      <c r="B63" s="790" t="s">
        <v>484</v>
      </c>
      <c r="C63" s="786"/>
      <c r="D63" s="791">
        <v>0.185</v>
      </c>
      <c r="E63" s="786"/>
      <c r="F63" s="786"/>
      <c r="G63" s="786">
        <f>G62*D63</f>
        <v>185000</v>
      </c>
      <c r="H63" s="804"/>
    </row>
    <row r="64" spans="1:8" ht="14.1" customHeight="1">
      <c r="A64" s="814"/>
      <c r="B64" s="793">
        <v>411</v>
      </c>
      <c r="C64" s="793" t="s">
        <v>223</v>
      </c>
      <c r="D64" s="793"/>
      <c r="E64" s="793"/>
      <c r="F64" s="793"/>
      <c r="G64" s="793"/>
      <c r="H64" s="815">
        <f>SUM(G62:G63)</f>
        <v>1185000</v>
      </c>
    </row>
    <row r="65" spans="1:8" ht="14.1" customHeight="1">
      <c r="A65" s="556" t="s">
        <v>1112</v>
      </c>
      <c r="B65" s="558"/>
      <c r="C65" s="558"/>
      <c r="D65" s="558"/>
      <c r="E65" s="558"/>
      <c r="F65" s="558"/>
      <c r="G65" s="558"/>
      <c r="H65" s="559"/>
    </row>
    <row r="66" spans="1:8" ht="14.1" customHeight="1">
      <c r="A66" s="561">
        <f>A62</f>
        <v>7011</v>
      </c>
      <c r="B66" s="561" t="str">
        <f>B62</f>
        <v xml:space="preserve">Ventes Mach  &amp; P fini  à </v>
      </c>
      <c r="C66" s="562"/>
      <c r="D66" s="562">
        <f>B64</f>
        <v>411</v>
      </c>
      <c r="E66" s="562" t="str">
        <f>C64</f>
        <v>CLIENT</v>
      </c>
      <c r="F66" s="562"/>
      <c r="G66" s="562"/>
      <c r="H66" s="563">
        <f>H64</f>
        <v>1185000</v>
      </c>
    </row>
    <row r="67" spans="1:8" ht="14.1" customHeight="1">
      <c r="A67" s="811"/>
      <c r="B67" s="811"/>
      <c r="C67" s="811"/>
      <c r="D67" s="811"/>
      <c r="E67" s="811"/>
      <c r="F67" s="811"/>
      <c r="G67" s="811"/>
      <c r="H67" s="811"/>
    </row>
    <row r="68" spans="1:8" ht="14.1" customHeight="1" thickBot="1">
      <c r="A68" s="811"/>
      <c r="B68" s="811"/>
      <c r="C68" s="811"/>
      <c r="D68" s="811"/>
      <c r="E68" s="811"/>
      <c r="F68" s="811"/>
      <c r="G68" s="811"/>
      <c r="H68" s="811"/>
    </row>
    <row r="69" spans="1:8" ht="14.1" customHeight="1">
      <c r="A69" s="816"/>
      <c r="B69" s="817" t="s">
        <v>784</v>
      </c>
      <c r="C69" s="818"/>
      <c r="D69" s="818"/>
      <c r="E69" s="818"/>
      <c r="F69" s="819">
        <v>1000000</v>
      </c>
      <c r="G69" s="817"/>
      <c r="H69" s="820"/>
    </row>
    <row r="70" spans="1:8" ht="14.1" customHeight="1">
      <c r="A70" s="821"/>
      <c r="B70" s="822" t="s">
        <v>11</v>
      </c>
      <c r="C70" s="823"/>
      <c r="D70" s="791">
        <v>0.185</v>
      </c>
      <c r="E70" s="823"/>
      <c r="F70" s="824">
        <f>F69*D70</f>
        <v>185000</v>
      </c>
      <c r="G70" s="822"/>
      <c r="H70" s="825"/>
    </row>
    <row r="71" spans="1:8" ht="14.1" customHeight="1">
      <c r="A71" s="821"/>
      <c r="B71" s="822" t="s">
        <v>780</v>
      </c>
      <c r="C71" s="823"/>
      <c r="D71" s="822"/>
      <c r="E71" s="823"/>
      <c r="F71" s="822">
        <f>F69+F70</f>
        <v>1185000</v>
      </c>
      <c r="G71" s="822"/>
      <c r="H71" s="825"/>
    </row>
    <row r="72" spans="1:8" ht="14.1" customHeight="1">
      <c r="A72" s="821"/>
      <c r="B72" s="822" t="s">
        <v>781</v>
      </c>
      <c r="C72" s="823"/>
      <c r="D72" s="826">
        <v>0.02</v>
      </c>
      <c r="E72" s="823"/>
      <c r="F72" s="822">
        <f>F71*D72</f>
        <v>23700</v>
      </c>
      <c r="G72" s="822"/>
      <c r="H72" s="825"/>
    </row>
    <row r="73" spans="1:8" ht="14.1" customHeight="1">
      <c r="A73" s="821"/>
      <c r="B73" s="822" t="s">
        <v>782</v>
      </c>
      <c r="C73" s="823"/>
      <c r="D73" s="823"/>
      <c r="E73" s="823"/>
      <c r="F73" s="822">
        <f>F71-F72</f>
        <v>1161300</v>
      </c>
      <c r="G73" s="822"/>
      <c r="H73" s="825"/>
    </row>
    <row r="74" spans="1:8" ht="14.1" customHeight="1">
      <c r="A74" s="827"/>
      <c r="B74" s="822"/>
      <c r="C74" s="822"/>
      <c r="D74" s="823"/>
      <c r="E74" s="823"/>
      <c r="F74" s="786"/>
      <c r="G74" s="822"/>
      <c r="H74" s="825"/>
    </row>
    <row r="75" spans="1:8" ht="14.1" customHeight="1">
      <c r="A75" s="1165" t="s">
        <v>783</v>
      </c>
      <c r="B75" s="786"/>
      <c r="C75" s="786"/>
      <c r="D75" s="823"/>
      <c r="E75" s="823"/>
      <c r="F75" s="786"/>
      <c r="G75" s="786"/>
      <c r="H75" s="828"/>
    </row>
    <row r="76" spans="1:8" ht="14.1" customHeight="1">
      <c r="A76" s="827">
        <v>411</v>
      </c>
      <c r="B76" s="822" t="s">
        <v>326</v>
      </c>
      <c r="C76" s="822"/>
      <c r="D76" s="823"/>
      <c r="E76" s="823"/>
      <c r="F76" s="786"/>
      <c r="G76" s="822">
        <f>F71</f>
        <v>1185000</v>
      </c>
      <c r="H76" s="825"/>
    </row>
    <row r="77" spans="1:8" ht="14.1" customHeight="1">
      <c r="A77" s="821"/>
      <c r="B77" s="786">
        <v>7011</v>
      </c>
      <c r="C77" s="796" t="s">
        <v>569</v>
      </c>
      <c r="D77" s="823"/>
      <c r="E77" s="823"/>
      <c r="F77" s="786"/>
      <c r="G77" s="822"/>
      <c r="H77" s="825">
        <f>F69</f>
        <v>1000000</v>
      </c>
    </row>
    <row r="78" spans="1:8" ht="14.1" customHeight="1">
      <c r="A78" s="821"/>
      <c r="B78" s="790">
        <v>44312</v>
      </c>
      <c r="C78" s="790" t="s">
        <v>484</v>
      </c>
      <c r="D78" s="823"/>
      <c r="E78" s="823"/>
      <c r="F78" s="786"/>
      <c r="G78" s="822"/>
      <c r="H78" s="825">
        <f>F70</f>
        <v>185000</v>
      </c>
    </row>
    <row r="79" spans="1:8" ht="14.1" customHeight="1">
      <c r="A79" s="556" t="s">
        <v>1112</v>
      </c>
      <c r="B79" s="558"/>
      <c r="C79" s="558"/>
      <c r="D79" s="558"/>
      <c r="E79" s="558"/>
      <c r="F79" s="558"/>
      <c r="G79" s="558"/>
      <c r="H79" s="559"/>
    </row>
    <row r="80" spans="1:8" ht="14.1" customHeight="1">
      <c r="A80" s="561">
        <f>A76</f>
        <v>411</v>
      </c>
      <c r="B80" s="561" t="str">
        <f>B76</f>
        <v>Clients</v>
      </c>
      <c r="C80" s="562"/>
      <c r="D80" s="562">
        <f>B78</f>
        <v>44312</v>
      </c>
      <c r="E80" s="562" t="str">
        <f>C78</f>
        <v>T.V.A. facturée sur ventes</v>
      </c>
      <c r="F80" s="562"/>
      <c r="G80" s="562"/>
      <c r="H80" s="563">
        <f>H78</f>
        <v>185000</v>
      </c>
    </row>
    <row r="81" spans="1:8" ht="14.1" customHeight="1">
      <c r="A81" s="821"/>
      <c r="B81" s="829"/>
      <c r="C81" s="829"/>
      <c r="D81" s="823"/>
      <c r="E81" s="823"/>
      <c r="F81" s="786"/>
      <c r="G81" s="822"/>
      <c r="H81" s="825"/>
    </row>
    <row r="82" spans="1:8" ht="14.1" customHeight="1">
      <c r="A82" s="1165" t="s">
        <v>807</v>
      </c>
      <c r="B82" s="786"/>
      <c r="C82" s="786"/>
      <c r="D82" s="823"/>
      <c r="E82" s="823"/>
      <c r="F82" s="786"/>
      <c r="G82" s="786"/>
      <c r="H82" s="828"/>
    </row>
    <row r="83" spans="1:8" ht="14.1" customHeight="1">
      <c r="A83" s="830">
        <v>520</v>
      </c>
      <c r="B83" s="789" t="s">
        <v>170</v>
      </c>
      <c r="C83" s="822"/>
      <c r="D83" s="823"/>
      <c r="E83" s="823"/>
      <c r="F83" s="786"/>
      <c r="G83" s="822">
        <f>F73</f>
        <v>1161300</v>
      </c>
      <c r="H83" s="825"/>
    </row>
    <row r="84" spans="1:8" ht="14.1" customHeight="1">
      <c r="A84" s="830">
        <v>6731</v>
      </c>
      <c r="B84" s="797" t="s">
        <v>779</v>
      </c>
      <c r="C84" s="822"/>
      <c r="D84" s="823"/>
      <c r="E84" s="823"/>
      <c r="F84" s="786"/>
      <c r="G84" s="822">
        <f>F72</f>
        <v>23700</v>
      </c>
      <c r="H84" s="825"/>
    </row>
    <row r="85" spans="1:8" ht="14.1" customHeight="1" thickBot="1">
      <c r="A85" s="831"/>
      <c r="B85" s="832">
        <v>411</v>
      </c>
      <c r="C85" s="832" t="s">
        <v>326</v>
      </c>
      <c r="D85" s="833"/>
      <c r="E85" s="833"/>
      <c r="F85" s="834"/>
      <c r="G85" s="832"/>
      <c r="H85" s="835">
        <f>SUM(G83:G84)</f>
        <v>1185000</v>
      </c>
    </row>
    <row r="86" spans="1:8" ht="14.1" customHeight="1">
      <c r="A86" s="556" t="s">
        <v>1479</v>
      </c>
      <c r="B86" s="558"/>
      <c r="C86" s="558"/>
      <c r="D86" s="558"/>
      <c r="E86" s="558"/>
      <c r="F86" s="558"/>
      <c r="G86" s="558"/>
      <c r="H86" s="559"/>
    </row>
    <row r="87" spans="1:8" ht="14.1" customHeight="1">
      <c r="A87" s="556">
        <f>A83</f>
        <v>520</v>
      </c>
      <c r="B87" s="556" t="str">
        <f>B83</f>
        <v>Banques cpte en monnaie nationale</v>
      </c>
      <c r="C87" s="558"/>
      <c r="D87" s="558">
        <f>B85</f>
        <v>411</v>
      </c>
      <c r="E87" s="558" t="str">
        <f>C85</f>
        <v>Clients</v>
      </c>
      <c r="F87" s="558"/>
      <c r="G87" s="558"/>
      <c r="H87" s="559">
        <f>G83</f>
        <v>1161300</v>
      </c>
    </row>
    <row r="88" spans="1:8" ht="14.1" customHeight="1">
      <c r="A88" s="561">
        <f>A84</f>
        <v>6731</v>
      </c>
      <c r="B88" s="561" t="str">
        <f>B84</f>
        <v xml:space="preserve">Escomptes accordés à </v>
      </c>
      <c r="C88" s="562"/>
      <c r="D88" s="562">
        <f>D87</f>
        <v>411</v>
      </c>
      <c r="E88" s="562" t="str">
        <f>E87</f>
        <v>Clients</v>
      </c>
      <c r="F88" s="562"/>
      <c r="G88" s="562"/>
      <c r="H88" s="563">
        <f>G84</f>
        <v>23700</v>
      </c>
    </row>
    <row r="89" spans="1:8" ht="14.1" customHeight="1">
      <c r="A89" s="811"/>
      <c r="B89" s="811"/>
      <c r="C89" s="811"/>
      <c r="D89" s="811"/>
      <c r="E89" s="811"/>
      <c r="F89" s="811"/>
      <c r="G89" s="811"/>
      <c r="H89" s="811"/>
    </row>
    <row r="90" spans="1:8" ht="14.1" customHeight="1">
      <c r="A90" s="811"/>
      <c r="B90" s="811"/>
      <c r="C90" s="811"/>
      <c r="D90" s="811"/>
      <c r="E90" s="811"/>
      <c r="F90" s="811"/>
      <c r="G90" s="811"/>
      <c r="H90" s="811"/>
    </row>
    <row r="91" spans="1:8" ht="14.1" customHeight="1">
      <c r="A91" s="1162" t="s">
        <v>225</v>
      </c>
      <c r="B91" s="783"/>
      <c r="C91" s="783"/>
      <c r="D91" s="783"/>
      <c r="E91" s="783"/>
      <c r="F91" s="783"/>
      <c r="G91" s="783"/>
      <c r="H91" s="784"/>
    </row>
    <row r="92" spans="1:8" ht="14.1" customHeight="1">
      <c r="A92" s="788">
        <v>6731</v>
      </c>
      <c r="B92" s="797" t="s">
        <v>779</v>
      </c>
      <c r="C92" s="786"/>
      <c r="D92" s="786"/>
      <c r="E92" s="786"/>
      <c r="F92" s="786"/>
      <c r="G92" s="795">
        <v>15000</v>
      </c>
      <c r="H92" s="787"/>
    </row>
    <row r="93" spans="1:8" ht="14.1" customHeight="1">
      <c r="A93" s="790">
        <v>44312</v>
      </c>
      <c r="B93" s="790" t="s">
        <v>484</v>
      </c>
      <c r="C93" s="786"/>
      <c r="D93" s="791">
        <v>0.185</v>
      </c>
      <c r="E93" s="786"/>
      <c r="F93" s="786"/>
      <c r="G93" s="786">
        <f>G92*D93</f>
        <v>2775</v>
      </c>
      <c r="H93" s="787"/>
    </row>
    <row r="94" spans="1:8" ht="14.1" customHeight="1">
      <c r="A94" s="792"/>
      <c r="B94" s="836">
        <v>411</v>
      </c>
      <c r="C94" s="837" t="s">
        <v>326</v>
      </c>
      <c r="D94" s="793"/>
      <c r="E94" s="793"/>
      <c r="F94" s="793"/>
      <c r="G94" s="793"/>
      <c r="H94" s="838">
        <f>SUM(G92:G93)</f>
        <v>17775</v>
      </c>
    </row>
    <row r="95" spans="1:8" ht="14.1" customHeight="1">
      <c r="A95" s="556" t="s">
        <v>1112</v>
      </c>
      <c r="B95" s="558"/>
      <c r="C95" s="558"/>
      <c r="D95" s="558"/>
      <c r="E95" s="558"/>
      <c r="F95" s="558"/>
      <c r="G95" s="558"/>
      <c r="H95" s="559"/>
    </row>
    <row r="96" spans="1:8" ht="14.1" customHeight="1">
      <c r="A96" s="561">
        <f>A92</f>
        <v>6731</v>
      </c>
      <c r="B96" s="561" t="str">
        <f>B92</f>
        <v xml:space="preserve">Escomptes accordés à </v>
      </c>
      <c r="C96" s="562"/>
      <c r="D96" s="562">
        <f>B94</f>
        <v>411</v>
      </c>
      <c r="E96" s="562" t="str">
        <f>C94</f>
        <v>Clients</v>
      </c>
      <c r="F96" s="562"/>
      <c r="G96" s="562"/>
      <c r="H96" s="563">
        <f>H94</f>
        <v>17775</v>
      </c>
    </row>
    <row r="97" spans="1:8" ht="14.1" customHeight="1">
      <c r="A97" s="811"/>
      <c r="B97" s="811"/>
      <c r="C97" s="811"/>
      <c r="D97" s="811"/>
      <c r="E97" s="811"/>
      <c r="F97" s="811"/>
      <c r="G97" s="811"/>
      <c r="H97" s="811"/>
    </row>
    <row r="98" spans="1:8" ht="14.1" customHeight="1">
      <c r="A98" s="811"/>
      <c r="B98" s="811"/>
      <c r="C98" s="811"/>
      <c r="D98" s="811"/>
      <c r="E98" s="811"/>
      <c r="F98" s="811"/>
      <c r="G98" s="811"/>
      <c r="H98" s="811"/>
    </row>
    <row r="99" spans="1:8" ht="14.1" customHeight="1">
      <c r="A99" s="839">
        <v>412</v>
      </c>
      <c r="B99" s="840" t="s">
        <v>328</v>
      </c>
      <c r="C99" s="783"/>
      <c r="D99" s="783"/>
      <c r="E99" s="783"/>
      <c r="F99" s="783"/>
      <c r="G99" s="795">
        <v>1200000</v>
      </c>
      <c r="H99" s="784"/>
    </row>
    <row r="100" spans="1:8" ht="14.1" customHeight="1">
      <c r="A100" s="792"/>
      <c r="B100" s="836">
        <v>411</v>
      </c>
      <c r="C100" s="837" t="s">
        <v>326</v>
      </c>
      <c r="D100" s="793"/>
      <c r="E100" s="793"/>
      <c r="F100" s="793"/>
      <c r="G100" s="793"/>
      <c r="H100" s="838">
        <f>G99</f>
        <v>1200000</v>
      </c>
    </row>
    <row r="101" spans="1:8" ht="14.1" customHeight="1">
      <c r="A101" s="556" t="s">
        <v>1112</v>
      </c>
      <c r="B101" s="558"/>
      <c r="C101" s="558"/>
      <c r="D101" s="558"/>
      <c r="E101" s="558"/>
      <c r="F101" s="558"/>
      <c r="G101" s="558"/>
      <c r="H101" s="559"/>
    </row>
    <row r="102" spans="1:8" ht="14.1" customHeight="1">
      <c r="A102" s="561">
        <f>A99</f>
        <v>412</v>
      </c>
      <c r="B102" s="561" t="str">
        <f>B99</f>
        <v>Clients, effets à recevoir</v>
      </c>
      <c r="C102" s="562"/>
      <c r="D102" s="562">
        <f>B100</f>
        <v>411</v>
      </c>
      <c r="E102" s="562" t="str">
        <f>C100</f>
        <v>Clients</v>
      </c>
      <c r="F102" s="562"/>
      <c r="G102" s="562"/>
      <c r="H102" s="563">
        <f>H100</f>
        <v>1200000</v>
      </c>
    </row>
    <row r="103" spans="1:8" ht="14.1" customHeight="1">
      <c r="A103" s="811"/>
      <c r="B103" s="811"/>
      <c r="C103" s="811"/>
      <c r="D103" s="811"/>
      <c r="E103" s="811"/>
      <c r="F103" s="811"/>
      <c r="G103" s="811"/>
      <c r="H103" s="811"/>
    </row>
    <row r="104" spans="1:8" ht="14.1" customHeight="1">
      <c r="A104" s="811"/>
      <c r="B104" s="811"/>
      <c r="C104" s="811"/>
      <c r="D104" s="811"/>
      <c r="E104" s="811"/>
      <c r="F104" s="811"/>
      <c r="G104" s="811"/>
      <c r="H104" s="811"/>
    </row>
    <row r="105" spans="1:8" ht="14.1" customHeight="1">
      <c r="A105" s="1164" t="s">
        <v>574</v>
      </c>
      <c r="B105" s="801"/>
      <c r="C105" s="801"/>
      <c r="D105" s="801"/>
      <c r="E105" s="801"/>
      <c r="F105" s="801"/>
      <c r="G105" s="801"/>
      <c r="H105" s="802"/>
    </row>
    <row r="106" spans="1:8" ht="14.1" customHeight="1">
      <c r="A106" s="803">
        <v>411</v>
      </c>
      <c r="B106" s="797" t="s">
        <v>326</v>
      </c>
      <c r="C106" s="786"/>
      <c r="D106" s="786"/>
      <c r="E106" s="786"/>
      <c r="F106" s="786"/>
      <c r="G106" s="786">
        <f>SUM(H107:H109)</f>
        <v>2375000</v>
      </c>
      <c r="H106" s="804"/>
    </row>
    <row r="107" spans="1:8" ht="14.1" customHeight="1">
      <c r="B107" s="790">
        <v>44312</v>
      </c>
      <c r="C107" s="790" t="s">
        <v>484</v>
      </c>
      <c r="D107" s="791">
        <v>0.185</v>
      </c>
      <c r="E107" s="786"/>
      <c r="F107" s="786"/>
      <c r="G107" s="786"/>
      <c r="H107" s="804">
        <f>H108*D107</f>
        <v>370000</v>
      </c>
    </row>
    <row r="108" spans="1:8" ht="14.1" customHeight="1">
      <c r="A108" s="805"/>
      <c r="B108" s="841">
        <v>7011</v>
      </c>
      <c r="C108" s="796" t="s">
        <v>569</v>
      </c>
      <c r="D108" s="786"/>
      <c r="E108" s="786"/>
      <c r="F108" s="786"/>
      <c r="G108" s="786"/>
      <c r="H108" s="842">
        <v>2000000</v>
      </c>
    </row>
    <row r="109" spans="1:8" ht="14.1" customHeight="1">
      <c r="A109" s="805"/>
      <c r="B109" s="786">
        <v>4194</v>
      </c>
      <c r="C109" s="786" t="s">
        <v>575</v>
      </c>
      <c r="D109" s="786"/>
      <c r="E109" s="786"/>
      <c r="F109" s="786"/>
      <c r="G109" s="786"/>
      <c r="H109" s="842">
        <v>5000</v>
      </c>
    </row>
    <row r="110" spans="1:8" ht="14.1" customHeight="1">
      <c r="A110" s="556" t="s">
        <v>1112</v>
      </c>
      <c r="B110" s="714"/>
      <c r="C110" s="715"/>
      <c r="D110" s="558"/>
      <c r="E110" s="558"/>
      <c r="F110" s="558"/>
      <c r="G110" s="558"/>
      <c r="H110" s="559"/>
    </row>
    <row r="111" spans="1:8" ht="14.1" customHeight="1">
      <c r="A111" s="556">
        <f>A106</f>
        <v>411</v>
      </c>
      <c r="B111" s="558" t="str">
        <f>B106</f>
        <v>Clients</v>
      </c>
      <c r="C111" s="558"/>
      <c r="D111" s="558">
        <f>B108</f>
        <v>7011</v>
      </c>
      <c r="E111" s="558" t="str">
        <f>C108</f>
        <v>Ventes Mach  &amp; P fini  à 18,5%</v>
      </c>
      <c r="F111" s="558"/>
      <c r="G111" s="558"/>
      <c r="H111" s="559">
        <f>H108*(1+D107)</f>
        <v>2370000</v>
      </c>
    </row>
    <row r="112" spans="1:8" ht="14.1" customHeight="1">
      <c r="A112" s="556">
        <f>A111</f>
        <v>411</v>
      </c>
      <c r="B112" s="556" t="str">
        <f>B111</f>
        <v>Clients</v>
      </c>
      <c r="C112" s="558"/>
      <c r="D112" s="558">
        <f>B109</f>
        <v>4194</v>
      </c>
      <c r="E112" s="558" t="str">
        <f t="shared" ref="E112:F112" si="6">C109</f>
        <v>Dette pour emballage</v>
      </c>
      <c r="F112" s="558">
        <f t="shared" si="6"/>
        <v>0</v>
      </c>
      <c r="G112" s="558"/>
      <c r="H112" s="559">
        <f>H109</f>
        <v>5000</v>
      </c>
    </row>
    <row r="113" spans="1:8" ht="14.1" customHeight="1">
      <c r="A113" s="556" t="s">
        <v>1479</v>
      </c>
      <c r="B113" s="558"/>
      <c r="C113" s="558"/>
      <c r="D113" s="558"/>
      <c r="E113" s="558"/>
      <c r="F113" s="558"/>
      <c r="G113" s="558"/>
      <c r="H113" s="559"/>
    </row>
    <row r="114" spans="1:8" ht="14.1" customHeight="1">
      <c r="A114" s="809">
        <v>520</v>
      </c>
      <c r="B114" s="810" t="s">
        <v>170</v>
      </c>
      <c r="C114" s="558"/>
      <c r="D114" s="558">
        <f>A106</f>
        <v>411</v>
      </c>
      <c r="E114" s="558" t="str">
        <f>B106</f>
        <v>Clients</v>
      </c>
      <c r="F114" s="558"/>
      <c r="G114" s="558"/>
      <c r="H114" s="559">
        <f>G106</f>
        <v>2375000</v>
      </c>
    </row>
    <row r="115" spans="1:8" ht="14.1" customHeight="1">
      <c r="A115" s="805"/>
      <c r="B115" s="786"/>
      <c r="C115" s="786"/>
      <c r="D115" s="786"/>
      <c r="E115" s="786"/>
      <c r="F115" s="786"/>
      <c r="G115" s="786"/>
      <c r="H115" s="804"/>
    </row>
    <row r="116" spans="1:8" ht="14.1" customHeight="1">
      <c r="A116" s="1166" t="s">
        <v>226</v>
      </c>
      <c r="B116" s="786"/>
      <c r="C116" s="786"/>
      <c r="D116" s="786"/>
      <c r="E116" s="786"/>
      <c r="F116" s="786"/>
      <c r="G116" s="786"/>
      <c r="H116" s="804"/>
    </row>
    <row r="117" spans="1:8" ht="14.1" customHeight="1">
      <c r="A117" s="843">
        <v>4194</v>
      </c>
      <c r="B117" s="829" t="s">
        <v>332</v>
      </c>
      <c r="C117" s="786"/>
      <c r="D117" s="786"/>
      <c r="E117" s="786"/>
      <c r="F117" s="786"/>
      <c r="G117" s="786">
        <f>H109</f>
        <v>5000</v>
      </c>
      <c r="H117" s="804"/>
    </row>
    <row r="118" spans="1:8" ht="14.1" customHeight="1">
      <c r="A118" s="805"/>
      <c r="B118" s="786">
        <v>411</v>
      </c>
      <c r="C118" s="786" t="s">
        <v>223</v>
      </c>
      <c r="D118" s="786"/>
      <c r="E118" s="786"/>
      <c r="F118" s="786"/>
      <c r="G118" s="786"/>
      <c r="H118" s="804">
        <f>G117</f>
        <v>5000</v>
      </c>
    </row>
    <row r="119" spans="1:8" ht="14.1" customHeight="1">
      <c r="A119" s="556" t="s">
        <v>1112</v>
      </c>
      <c r="B119" s="714"/>
      <c r="C119" s="715"/>
      <c r="D119" s="558"/>
      <c r="E119" s="558"/>
      <c r="F119" s="558"/>
      <c r="G119" s="558"/>
      <c r="H119" s="559"/>
    </row>
    <row r="120" spans="1:8" ht="14.1" customHeight="1">
      <c r="A120" s="556">
        <f>A117</f>
        <v>4194</v>
      </c>
      <c r="B120" s="558" t="str">
        <f>B117</f>
        <v>Clients, dettes pour emballages et matériels consigné</v>
      </c>
      <c r="C120" s="558"/>
      <c r="D120" s="558">
        <f>B118</f>
        <v>411</v>
      </c>
      <c r="E120" s="558" t="str">
        <f t="shared" ref="E120" si="7">C118</f>
        <v>CLIENT</v>
      </c>
      <c r="F120" s="558"/>
      <c r="G120" s="558"/>
      <c r="H120" s="559">
        <f>G117</f>
        <v>5000</v>
      </c>
    </row>
    <row r="121" spans="1:8" ht="14.1" customHeight="1">
      <c r="A121" s="805"/>
      <c r="B121" s="786"/>
      <c r="C121" s="786"/>
      <c r="D121" s="786"/>
      <c r="E121" s="786"/>
      <c r="F121" s="786"/>
      <c r="G121" s="786"/>
      <c r="H121" s="804"/>
    </row>
    <row r="122" spans="1:8" ht="14.1" customHeight="1">
      <c r="A122" s="1166" t="s">
        <v>227</v>
      </c>
      <c r="B122" s="786"/>
      <c r="C122" s="786"/>
      <c r="D122" s="786"/>
      <c r="E122" s="786"/>
      <c r="F122" s="786"/>
      <c r="G122" s="786"/>
      <c r="H122" s="804"/>
    </row>
    <row r="123" spans="1:8" ht="14.1" customHeight="1">
      <c r="A123" s="843">
        <v>4194</v>
      </c>
      <c r="B123" s="829" t="s">
        <v>332</v>
      </c>
      <c r="C123" s="786"/>
      <c r="D123" s="786"/>
      <c r="E123" s="786"/>
      <c r="F123" s="786"/>
      <c r="G123" s="799">
        <f>G117</f>
        <v>5000</v>
      </c>
      <c r="H123" s="804"/>
    </row>
    <row r="124" spans="1:8" ht="14.1" customHeight="1">
      <c r="A124" s="805"/>
      <c r="B124" s="844">
        <v>7074</v>
      </c>
      <c r="C124" s="797" t="s">
        <v>458</v>
      </c>
      <c r="D124" s="786"/>
      <c r="E124" s="786"/>
      <c r="F124" s="786"/>
      <c r="G124" s="786"/>
      <c r="H124" s="842">
        <v>1000</v>
      </c>
    </row>
    <row r="125" spans="1:8" ht="14.1" customHeight="1">
      <c r="A125" s="805"/>
      <c r="B125" s="790">
        <v>44312</v>
      </c>
      <c r="C125" s="790" t="s">
        <v>484</v>
      </c>
      <c r="D125" s="791">
        <v>0.185</v>
      </c>
      <c r="E125" s="786"/>
      <c r="F125" s="786"/>
      <c r="G125" s="786"/>
      <c r="H125" s="804">
        <f>H124*D125</f>
        <v>185</v>
      </c>
    </row>
    <row r="126" spans="1:8" ht="14.1" customHeight="1">
      <c r="A126" s="805"/>
      <c r="B126" s="799">
        <v>411</v>
      </c>
      <c r="C126" s="799" t="s">
        <v>223</v>
      </c>
      <c r="D126" s="786"/>
      <c r="E126" s="786"/>
      <c r="F126" s="786"/>
      <c r="G126" s="786"/>
      <c r="H126" s="804">
        <f>G123-H124-H125</f>
        <v>3815</v>
      </c>
    </row>
    <row r="127" spans="1:8" ht="14.1" customHeight="1">
      <c r="A127" s="556" t="s">
        <v>1112</v>
      </c>
      <c r="B127" s="714"/>
      <c r="C127" s="715"/>
      <c r="D127" s="558"/>
      <c r="E127" s="558"/>
      <c r="F127" s="558"/>
      <c r="G127" s="558"/>
      <c r="H127" s="559"/>
    </row>
    <row r="128" spans="1:8" ht="14.1" customHeight="1">
      <c r="A128" s="556">
        <f>A123</f>
        <v>4194</v>
      </c>
      <c r="B128" s="558" t="str">
        <f>B123</f>
        <v>Clients, dettes pour emballages et matériels consigné</v>
      </c>
      <c r="C128" s="558"/>
      <c r="D128" s="558">
        <f>B126</f>
        <v>411</v>
      </c>
      <c r="E128" s="558" t="str">
        <f t="shared" ref="E128" si="8">C126</f>
        <v>CLIENT</v>
      </c>
      <c r="F128" s="558"/>
      <c r="G128" s="558"/>
      <c r="H128" s="559">
        <f>H126</f>
        <v>3815</v>
      </c>
    </row>
    <row r="129" spans="1:8" ht="14.1" customHeight="1">
      <c r="A129" s="556">
        <f>A128</f>
        <v>4194</v>
      </c>
      <c r="B129" s="556" t="str">
        <f>B128</f>
        <v>Clients, dettes pour emballages et matériels consigné</v>
      </c>
      <c r="C129" s="558"/>
      <c r="D129" s="558">
        <f>B124</f>
        <v>7074</v>
      </c>
      <c r="E129" s="558" t="str">
        <f>C124</f>
        <v>Boni/reprises, cess. emballages</v>
      </c>
      <c r="F129" s="558"/>
      <c r="G129" s="558"/>
      <c r="H129" s="559">
        <f>H125</f>
        <v>185</v>
      </c>
    </row>
    <row r="130" spans="1:8" ht="14.1" customHeight="1">
      <c r="A130" s="805"/>
      <c r="B130" s="786"/>
      <c r="C130" s="786"/>
      <c r="D130" s="786"/>
      <c r="E130" s="786"/>
      <c r="F130" s="786"/>
      <c r="G130" s="786"/>
      <c r="H130" s="804"/>
    </row>
    <row r="131" spans="1:8" ht="14.1" customHeight="1">
      <c r="A131" s="1166" t="s">
        <v>576</v>
      </c>
      <c r="B131" s="786"/>
      <c r="C131" s="786"/>
      <c r="D131" s="786"/>
      <c r="E131" s="786"/>
      <c r="F131" s="786"/>
      <c r="G131" s="786"/>
      <c r="H131" s="804"/>
    </row>
    <row r="132" spans="1:8" ht="14.1" customHeight="1">
      <c r="A132" s="805"/>
      <c r="B132" s="786"/>
      <c r="C132" s="786"/>
      <c r="D132" s="786"/>
      <c r="E132" s="786"/>
      <c r="F132" s="786"/>
      <c r="G132" s="786"/>
      <c r="H132" s="804"/>
    </row>
    <row r="133" spans="1:8" ht="14.1" customHeight="1">
      <c r="A133" s="843">
        <v>4194</v>
      </c>
      <c r="B133" s="829" t="s">
        <v>332</v>
      </c>
      <c r="C133" s="786"/>
      <c r="D133" s="786"/>
      <c r="E133" s="786"/>
      <c r="F133" s="786"/>
      <c r="G133" s="799">
        <f>G123</f>
        <v>5000</v>
      </c>
      <c r="H133" s="804"/>
    </row>
    <row r="134" spans="1:8" ht="14.1" customHeight="1">
      <c r="A134" s="805"/>
      <c r="B134" s="790">
        <v>44312</v>
      </c>
      <c r="C134" s="790" t="s">
        <v>484</v>
      </c>
      <c r="D134" s="791">
        <v>0.185</v>
      </c>
      <c r="E134" s="786"/>
      <c r="F134" s="786"/>
      <c r="G134" s="786"/>
      <c r="H134" s="804">
        <f>G133*D134</f>
        <v>925</v>
      </c>
    </row>
    <row r="135" spans="1:8" ht="14.1" customHeight="1">
      <c r="A135" s="845"/>
      <c r="B135" s="846">
        <v>7500</v>
      </c>
      <c r="C135" s="847" t="s">
        <v>177</v>
      </c>
      <c r="D135" s="848"/>
      <c r="E135" s="848"/>
      <c r="F135" s="848"/>
      <c r="G135" s="848"/>
      <c r="H135" s="849">
        <f>G133-H134</f>
        <v>4075</v>
      </c>
    </row>
    <row r="136" spans="1:8" ht="14.1" customHeight="1">
      <c r="A136" s="556" t="s">
        <v>1112</v>
      </c>
      <c r="B136" s="714"/>
      <c r="C136" s="715"/>
      <c r="D136" s="558"/>
      <c r="E136" s="558"/>
      <c r="F136" s="558"/>
      <c r="G136" s="558"/>
      <c r="H136" s="559"/>
    </row>
    <row r="137" spans="1:8" ht="14.1" customHeight="1">
      <c r="A137" s="561">
        <f>A133</f>
        <v>4194</v>
      </c>
      <c r="B137" s="562" t="str">
        <f>B133</f>
        <v>Clients, dettes pour emballages et matériels consigné</v>
      </c>
      <c r="C137" s="562"/>
      <c r="D137" s="562">
        <f>B135</f>
        <v>7500</v>
      </c>
      <c r="E137" s="562" t="str">
        <f t="shared" ref="E137" si="9">C135</f>
        <v>Autres produits</v>
      </c>
      <c r="F137" s="562"/>
      <c r="G137" s="562"/>
      <c r="H137" s="563">
        <f>H135</f>
        <v>4075</v>
      </c>
    </row>
    <row r="138" spans="1:8" ht="14.1" customHeight="1">
      <c r="A138" s="811"/>
      <c r="B138" s="811"/>
      <c r="C138" s="811"/>
      <c r="D138" s="811"/>
      <c r="E138" s="811"/>
      <c r="F138" s="811"/>
      <c r="G138" s="811"/>
      <c r="H138" s="811"/>
    </row>
    <row r="139" spans="1:8" ht="14.1" customHeight="1">
      <c r="A139" s="1162" t="s">
        <v>785</v>
      </c>
      <c r="B139" s="783"/>
      <c r="C139" s="783"/>
      <c r="D139" s="783"/>
      <c r="E139" s="783"/>
      <c r="F139" s="783"/>
      <c r="G139" s="783"/>
      <c r="H139" s="784"/>
    </row>
    <row r="140" spans="1:8" ht="14.1" customHeight="1">
      <c r="A140" s="785"/>
      <c r="B140" s="786"/>
      <c r="C140" s="799" t="s">
        <v>578</v>
      </c>
      <c r="D140" s="786"/>
      <c r="E140" s="786"/>
      <c r="F140" s="795">
        <v>5000000</v>
      </c>
      <c r="H140" s="787"/>
    </row>
    <row r="141" spans="1:8" ht="14.1" customHeight="1">
      <c r="A141" s="785"/>
      <c r="B141" s="786"/>
      <c r="C141" s="799" t="s">
        <v>579</v>
      </c>
      <c r="D141" s="786"/>
      <c r="E141" s="786"/>
      <c r="F141" s="786"/>
      <c r="G141" s="786"/>
      <c r="H141" s="850">
        <v>0.3</v>
      </c>
    </row>
    <row r="142" spans="1:8" ht="14.1" customHeight="1">
      <c r="A142" s="785"/>
      <c r="B142" s="786"/>
      <c r="C142" s="786" t="s">
        <v>228</v>
      </c>
      <c r="D142" s="791">
        <v>0.185</v>
      </c>
      <c r="E142" s="786"/>
      <c r="F142" s="786"/>
      <c r="G142" s="786"/>
      <c r="H142" s="787">
        <f>F140-(F140/(1+D142))</f>
        <v>780590.71729957871</v>
      </c>
    </row>
    <row r="143" spans="1:8" ht="14.1" customHeight="1">
      <c r="A143" s="800">
        <v>416</v>
      </c>
      <c r="B143" s="851" t="s">
        <v>331</v>
      </c>
      <c r="C143" s="786"/>
      <c r="D143" s="786"/>
      <c r="E143" s="786"/>
      <c r="F143" s="786"/>
      <c r="G143" s="786">
        <f>F140</f>
        <v>5000000</v>
      </c>
      <c r="H143" s="787"/>
    </row>
    <row r="144" spans="1:8" ht="14.1" customHeight="1">
      <c r="A144" s="785"/>
      <c r="B144" s="844">
        <v>411</v>
      </c>
      <c r="C144" s="797" t="s">
        <v>326</v>
      </c>
      <c r="D144" s="786"/>
      <c r="E144" s="786"/>
      <c r="F144" s="786"/>
      <c r="G144" s="786"/>
      <c r="H144" s="787">
        <f>G143</f>
        <v>5000000</v>
      </c>
    </row>
    <row r="145" spans="1:8" ht="14.1" customHeight="1">
      <c r="A145" s="556" t="s">
        <v>1112</v>
      </c>
      <c r="B145" s="714"/>
      <c r="C145" s="715"/>
      <c r="D145" s="558"/>
      <c r="E145" s="558"/>
      <c r="F145" s="558"/>
      <c r="G145" s="558"/>
      <c r="H145" s="559"/>
    </row>
    <row r="146" spans="1:8" ht="14.1" customHeight="1">
      <c r="A146" s="561">
        <f>A143</f>
        <v>416</v>
      </c>
      <c r="B146" s="561" t="str">
        <f>B143</f>
        <v>Créances litigieuses douteuses</v>
      </c>
      <c r="C146" s="562"/>
      <c r="D146" s="562">
        <f>B144</f>
        <v>411</v>
      </c>
      <c r="E146" s="562" t="str">
        <f t="shared" ref="E146" si="10">C144</f>
        <v>Clients</v>
      </c>
      <c r="F146" s="562"/>
      <c r="G146" s="562"/>
      <c r="H146" s="563">
        <f>H144</f>
        <v>5000000</v>
      </c>
    </row>
    <row r="147" spans="1:8" ht="14.1" customHeight="1">
      <c r="A147" s="785"/>
      <c r="B147" s="786"/>
      <c r="C147" s="786"/>
      <c r="D147" s="786"/>
      <c r="E147" s="786"/>
      <c r="F147" s="786"/>
      <c r="G147" s="786"/>
      <c r="H147" s="787"/>
    </row>
    <row r="148" spans="1:8" ht="14.1" customHeight="1">
      <c r="A148" s="1163" t="s">
        <v>229</v>
      </c>
      <c r="B148" s="786"/>
      <c r="C148" s="786"/>
      <c r="D148" s="786"/>
      <c r="E148" s="786"/>
      <c r="F148" s="786"/>
      <c r="G148" s="786"/>
      <c r="H148" s="787"/>
    </row>
    <row r="149" spans="1:8" ht="14.1" customHeight="1">
      <c r="A149" s="788">
        <v>6970</v>
      </c>
      <c r="B149" s="797" t="s">
        <v>419</v>
      </c>
      <c r="C149" s="786"/>
      <c r="D149" s="786"/>
      <c r="E149" s="786"/>
      <c r="F149" s="786"/>
      <c r="G149" s="786">
        <f>F140*H141/(1+D142)</f>
        <v>1265822.7848101265</v>
      </c>
      <c r="H149" s="787"/>
    </row>
    <row r="150" spans="1:8" ht="14.1" customHeight="1">
      <c r="A150" s="785"/>
      <c r="B150" s="852">
        <v>192</v>
      </c>
      <c r="C150" s="829" t="s">
        <v>268</v>
      </c>
      <c r="D150" s="786"/>
      <c r="E150" s="786"/>
      <c r="F150" s="786"/>
      <c r="G150" s="786"/>
      <c r="H150" s="787">
        <f>G149</f>
        <v>1265822.7848101265</v>
      </c>
    </row>
    <row r="151" spans="1:8" ht="14.1" customHeight="1">
      <c r="A151" s="556" t="s">
        <v>1112</v>
      </c>
      <c r="B151" s="714"/>
      <c r="C151" s="715"/>
      <c r="D151" s="558"/>
      <c r="E151" s="558"/>
      <c r="F151" s="558"/>
      <c r="G151" s="558"/>
      <c r="H151" s="559"/>
    </row>
    <row r="152" spans="1:8" ht="14.1" customHeight="1">
      <c r="A152" s="561">
        <f>A149</f>
        <v>6970</v>
      </c>
      <c r="B152" s="561" t="str">
        <f>B149</f>
        <v>Dotat. aux provis. Financières</v>
      </c>
      <c r="C152" s="562"/>
      <c r="D152" s="562">
        <f>B150</f>
        <v>192</v>
      </c>
      <c r="E152" s="562" t="str">
        <f t="shared" ref="E152" si="11">C150</f>
        <v>Provision pour pertes  créances clients</v>
      </c>
      <c r="F152" s="562"/>
      <c r="G152" s="562"/>
      <c r="H152" s="563">
        <f>H150</f>
        <v>1265822.7848101265</v>
      </c>
    </row>
    <row r="153" spans="1:8" ht="14.1" customHeight="1">
      <c r="A153" s="785"/>
      <c r="B153" s="786"/>
      <c r="C153" s="786"/>
      <c r="D153" s="786"/>
      <c r="E153" s="786"/>
      <c r="F153" s="786"/>
      <c r="G153" s="786"/>
      <c r="H153" s="787"/>
    </row>
    <row r="154" spans="1:8" ht="14.1" customHeight="1">
      <c r="A154" s="1163" t="s">
        <v>230</v>
      </c>
      <c r="B154" s="786"/>
      <c r="C154" s="786"/>
      <c r="D154" s="786"/>
      <c r="E154" s="786"/>
      <c r="F154" s="786"/>
      <c r="G154" s="786"/>
      <c r="H154" s="787"/>
    </row>
    <row r="155" spans="1:8" ht="14.1" customHeight="1">
      <c r="A155" s="785"/>
      <c r="B155" s="786"/>
      <c r="C155" s="799" t="s">
        <v>579</v>
      </c>
      <c r="D155" s="786"/>
      <c r="E155" s="786"/>
      <c r="F155" s="786"/>
      <c r="G155" s="786"/>
      <c r="H155" s="850">
        <v>0.5</v>
      </c>
    </row>
    <row r="156" spans="1:8" ht="14.1" customHeight="1">
      <c r="A156" s="785"/>
      <c r="B156" s="786"/>
      <c r="C156" s="799" t="s">
        <v>580</v>
      </c>
      <c r="D156" s="786"/>
      <c r="E156" s="786"/>
      <c r="F156" s="786"/>
      <c r="G156" s="786"/>
      <c r="H156" s="853">
        <f>H155-H141</f>
        <v>0.2</v>
      </c>
    </row>
    <row r="157" spans="1:8" ht="14.1" customHeight="1">
      <c r="A157" s="854">
        <v>192</v>
      </c>
      <c r="B157" s="852" t="s">
        <v>268</v>
      </c>
      <c r="C157" s="786"/>
      <c r="D157" s="786"/>
      <c r="E157" s="786"/>
      <c r="F157" s="786"/>
      <c r="G157" s="786">
        <f>G149-(H144*H156)/(1+D142)</f>
        <v>421940.92827004218</v>
      </c>
      <c r="H157" s="787"/>
    </row>
    <row r="158" spans="1:8" ht="14.1" customHeight="1">
      <c r="A158" s="785"/>
      <c r="B158" s="844">
        <v>7791</v>
      </c>
      <c r="C158" s="797" t="s">
        <v>467</v>
      </c>
      <c r="D158" s="786"/>
      <c r="E158" s="786"/>
      <c r="F158" s="786"/>
      <c r="G158" s="786"/>
      <c r="H158" s="787">
        <f>G157</f>
        <v>421940.92827004218</v>
      </c>
    </row>
    <row r="159" spans="1:8" ht="14.1" customHeight="1">
      <c r="A159" s="556" t="s">
        <v>1112</v>
      </c>
      <c r="B159" s="714"/>
      <c r="C159" s="715"/>
      <c r="D159" s="558"/>
      <c r="E159" s="558"/>
      <c r="F159" s="558"/>
      <c r="G159" s="558"/>
      <c r="H159" s="559"/>
    </row>
    <row r="160" spans="1:8" ht="14.1" customHeight="1">
      <c r="A160" s="561">
        <f>A157</f>
        <v>192</v>
      </c>
      <c r="B160" s="561" t="str">
        <f>B157</f>
        <v>Provision pour pertes  créances clients</v>
      </c>
      <c r="C160" s="562"/>
      <c r="D160" s="562">
        <f>B158</f>
        <v>7791</v>
      </c>
      <c r="E160" s="562" t="str">
        <f t="shared" ref="E160" si="12">C158</f>
        <v>Reprise Sur risques financiers</v>
      </c>
      <c r="F160" s="562"/>
      <c r="G160" s="562"/>
      <c r="H160" s="563">
        <f>H158</f>
        <v>421940.92827004218</v>
      </c>
    </row>
    <row r="161" spans="1:8" ht="14.1" customHeight="1">
      <c r="A161" s="785"/>
      <c r="B161" s="786"/>
      <c r="C161" s="786"/>
      <c r="D161" s="786"/>
      <c r="E161" s="786"/>
      <c r="F161" s="786"/>
      <c r="G161" s="786"/>
      <c r="H161" s="787"/>
    </row>
    <row r="162" spans="1:8" ht="14.1" customHeight="1">
      <c r="A162" s="1163" t="s">
        <v>581</v>
      </c>
      <c r="B162" s="786"/>
      <c r="C162" s="786"/>
      <c r="D162" s="786"/>
      <c r="E162" s="786"/>
      <c r="F162" s="786"/>
      <c r="G162" s="786"/>
      <c r="H162" s="787"/>
    </row>
    <row r="163" spans="1:8" ht="14.1" customHeight="1">
      <c r="A163" s="788">
        <v>831</v>
      </c>
      <c r="B163" s="797" t="s">
        <v>421</v>
      </c>
      <c r="C163" s="786"/>
      <c r="D163" s="786"/>
      <c r="E163" s="786"/>
      <c r="F163" s="786"/>
      <c r="G163" s="786">
        <f>H165-G164</f>
        <v>4219409.2827004213</v>
      </c>
      <c r="H163" s="787"/>
    </row>
    <row r="164" spans="1:8" ht="14.1" customHeight="1">
      <c r="A164" s="785"/>
      <c r="B164" s="790">
        <v>4431</v>
      </c>
      <c r="C164" s="790" t="s">
        <v>484</v>
      </c>
      <c r="D164" s="786"/>
      <c r="E164" s="786"/>
      <c r="F164" s="786"/>
      <c r="G164" s="786">
        <f>H142</f>
        <v>780590.71729957871</v>
      </c>
      <c r="H164" s="787"/>
    </row>
    <row r="165" spans="1:8" ht="14.1" customHeight="1">
      <c r="A165" s="785"/>
      <c r="B165" s="844">
        <v>416</v>
      </c>
      <c r="C165" s="797" t="s">
        <v>331</v>
      </c>
      <c r="D165" s="786"/>
      <c r="E165" s="786"/>
      <c r="F165" s="786"/>
      <c r="G165" s="786"/>
      <c r="H165" s="787">
        <f>H144</f>
        <v>5000000</v>
      </c>
    </row>
    <row r="166" spans="1:8" ht="14.1" customHeight="1">
      <c r="A166" s="556" t="s">
        <v>1112</v>
      </c>
      <c r="B166" s="714"/>
      <c r="C166" s="715"/>
      <c r="D166" s="558"/>
      <c r="E166" s="558"/>
      <c r="F166" s="558"/>
      <c r="G166" s="558"/>
      <c r="H166" s="559"/>
    </row>
    <row r="167" spans="1:8" ht="14.1" customHeight="1">
      <c r="A167" s="561">
        <f>A163</f>
        <v>831</v>
      </c>
      <c r="B167" s="561" t="str">
        <f>B163</f>
        <v>perte sur créances devenue irrécouvrable</v>
      </c>
      <c r="C167" s="562"/>
      <c r="D167" s="562">
        <f>B165</f>
        <v>416</v>
      </c>
      <c r="E167" s="562" t="str">
        <f t="shared" ref="E167" si="13">C165</f>
        <v>Créances litigieuses douteuses</v>
      </c>
      <c r="F167" s="562"/>
      <c r="G167" s="562"/>
      <c r="H167" s="563">
        <f>G163</f>
        <v>4219409.2827004213</v>
      </c>
    </row>
    <row r="168" spans="1:8" ht="14.1" customHeight="1">
      <c r="A168" s="785"/>
      <c r="B168" s="786"/>
      <c r="C168" s="786"/>
      <c r="D168" s="786"/>
      <c r="E168" s="786"/>
      <c r="F168" s="786"/>
      <c r="G168" s="786"/>
      <c r="H168" s="787"/>
    </row>
    <row r="169" spans="1:8" ht="14.1" customHeight="1">
      <c r="A169" s="1163" t="s">
        <v>231</v>
      </c>
      <c r="B169" s="786"/>
      <c r="C169" s="786"/>
      <c r="D169" s="786"/>
      <c r="E169" s="786"/>
      <c r="F169" s="786"/>
      <c r="G169" s="786"/>
      <c r="H169" s="787"/>
    </row>
    <row r="170" spans="1:8" ht="14.1" customHeight="1">
      <c r="A170" s="785"/>
      <c r="B170" s="786"/>
      <c r="C170" s="799" t="s">
        <v>582</v>
      </c>
      <c r="D170" s="786"/>
      <c r="E170" s="786"/>
      <c r="F170" s="786"/>
      <c r="G170" s="786">
        <f>G149</f>
        <v>1265822.7848101265</v>
      </c>
      <c r="H170" s="787"/>
    </row>
    <row r="171" spans="1:8" ht="14.1" customHeight="1">
      <c r="A171" s="785"/>
      <c r="B171" s="786"/>
      <c r="C171" s="799" t="s">
        <v>583</v>
      </c>
      <c r="D171" s="786"/>
      <c r="E171" s="786"/>
      <c r="F171" s="786"/>
      <c r="G171" s="786"/>
      <c r="H171" s="787">
        <f>G157</f>
        <v>421940.92827004218</v>
      </c>
    </row>
    <row r="172" spans="1:8" ht="14.1" customHeight="1">
      <c r="A172" s="785">
        <v>192</v>
      </c>
      <c r="B172" s="786" t="s">
        <v>268</v>
      </c>
      <c r="C172" s="786"/>
      <c r="D172" s="786"/>
      <c r="E172" s="786"/>
      <c r="F172" s="786"/>
      <c r="G172" s="786">
        <f>H173</f>
        <v>843881.85654008435</v>
      </c>
      <c r="H172" s="787"/>
    </row>
    <row r="173" spans="1:8" ht="14.1" customHeight="1">
      <c r="A173" s="792"/>
      <c r="B173" s="793">
        <v>7791</v>
      </c>
      <c r="C173" s="793" t="s">
        <v>467</v>
      </c>
      <c r="D173" s="793"/>
      <c r="E173" s="793"/>
      <c r="F173" s="793"/>
      <c r="G173" s="793"/>
      <c r="H173" s="838">
        <f>G170-H171</f>
        <v>843881.85654008435</v>
      </c>
    </row>
    <row r="174" spans="1:8" ht="14.1" customHeight="1">
      <c r="A174" s="556" t="s">
        <v>1112</v>
      </c>
      <c r="B174" s="714"/>
      <c r="C174" s="715"/>
      <c r="D174" s="558"/>
      <c r="E174" s="558"/>
      <c r="F174" s="558"/>
      <c r="G174" s="558"/>
      <c r="H174" s="559"/>
    </row>
    <row r="175" spans="1:8" ht="14.1" customHeight="1">
      <c r="A175" s="561">
        <f>A172</f>
        <v>192</v>
      </c>
      <c r="B175" s="561" t="str">
        <f>B172</f>
        <v>Provision pour pertes  créances clients</v>
      </c>
      <c r="C175" s="562"/>
      <c r="D175" s="562">
        <f>B173</f>
        <v>7791</v>
      </c>
      <c r="E175" s="562" t="str">
        <f t="shared" ref="E175" si="14">C173</f>
        <v>Reprise Sur risques financiers</v>
      </c>
      <c r="F175" s="562"/>
      <c r="G175" s="562"/>
      <c r="H175" s="563">
        <f>G172</f>
        <v>843881.85654008435</v>
      </c>
    </row>
  </sheetData>
  <mergeCells count="1">
    <mergeCell ref="A2:H2"/>
  </mergeCell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sheetPr codeName="Feuil17"/>
  <dimension ref="A2:AMJ222"/>
  <sheetViews>
    <sheetView topLeftCell="B1" workbookViewId="0">
      <selection activeCell="I10" sqref="I10"/>
    </sheetView>
  </sheetViews>
  <sheetFormatPr baseColWidth="10" defaultRowHeight="14.1" customHeight="1"/>
  <cols>
    <col min="1" max="1" width="12.28515625" style="136" customWidth="1"/>
    <col min="2" max="2" width="29.7109375" style="136" customWidth="1"/>
    <col min="3" max="3" width="28.85546875" style="136" customWidth="1"/>
    <col min="4" max="7" width="12.28515625" style="136" customWidth="1"/>
    <col min="8" max="9" width="13.42578125" style="136" customWidth="1"/>
    <col min="10" max="1024" width="12.28515625" style="136" customWidth="1"/>
    <col min="1025" max="16384" width="11.42578125" style="152"/>
  </cols>
  <sheetData>
    <row r="2" spans="1:8" ht="14.1" customHeight="1">
      <c r="A2" s="1695" t="s">
        <v>232</v>
      </c>
      <c r="B2" s="1695"/>
      <c r="C2" s="1695"/>
      <c r="D2" s="1695"/>
      <c r="E2" s="1695"/>
      <c r="F2" s="1695"/>
      <c r="G2" s="1695"/>
      <c r="H2" s="1695"/>
    </row>
    <row r="3" spans="1:8" ht="14.1" customHeight="1">
      <c r="A3" s="127"/>
      <c r="B3" s="127"/>
      <c r="C3" s="127"/>
      <c r="D3" s="127"/>
      <c r="E3" s="127"/>
      <c r="F3" s="127"/>
      <c r="G3" s="127"/>
      <c r="H3" s="127"/>
    </row>
    <row r="4" spans="1:8" ht="14.1" customHeight="1">
      <c r="A4" s="1167" t="s">
        <v>1019</v>
      </c>
      <c r="B4" s="137"/>
      <c r="C4" s="137"/>
      <c r="D4" s="137"/>
      <c r="E4" s="137"/>
      <c r="F4" s="137"/>
      <c r="G4" s="137"/>
      <c r="H4" s="153"/>
    </row>
    <row r="5" spans="1:8" ht="14.1" customHeight="1">
      <c r="A5" s="129">
        <v>602</v>
      </c>
      <c r="B5" s="140" t="s">
        <v>786</v>
      </c>
      <c r="C5" s="133"/>
      <c r="D5" s="133"/>
      <c r="E5" s="133"/>
      <c r="F5" s="133"/>
      <c r="G5" s="200">
        <v>2000000</v>
      </c>
      <c r="H5" s="154"/>
    </row>
    <row r="6" spans="1:8" ht="14.1" customHeight="1">
      <c r="A6" s="203">
        <v>44522</v>
      </c>
      <c r="B6" s="151" t="s">
        <v>488</v>
      </c>
      <c r="C6" s="133"/>
      <c r="D6" s="133"/>
      <c r="E6" s="241">
        <v>0.185</v>
      </c>
      <c r="F6" s="133"/>
      <c r="G6" s="133">
        <f>G5*E6</f>
        <v>370000</v>
      </c>
      <c r="H6" s="154"/>
    </row>
    <row r="7" spans="1:8" ht="14.1" customHeight="1">
      <c r="A7" s="132"/>
      <c r="B7" s="198">
        <v>4011</v>
      </c>
      <c r="C7" s="199" t="s">
        <v>276</v>
      </c>
      <c r="D7" s="143"/>
      <c r="E7" s="143"/>
      <c r="F7" s="143"/>
      <c r="G7" s="143"/>
      <c r="H7" s="155">
        <f>G6</f>
        <v>370000</v>
      </c>
    </row>
    <row r="8" spans="1:8" ht="14.1" customHeight="1">
      <c r="A8" s="127"/>
      <c r="B8" s="127"/>
      <c r="C8" s="127"/>
      <c r="D8" s="127"/>
      <c r="E8" s="127"/>
      <c r="F8" s="127"/>
      <c r="G8" s="127"/>
      <c r="H8" s="127"/>
    </row>
    <row r="9" spans="1:8" ht="14.1" customHeight="1">
      <c r="A9" s="1167" t="s">
        <v>1020</v>
      </c>
      <c r="B9" s="137"/>
      <c r="C9" s="137"/>
      <c r="D9" s="137"/>
      <c r="E9" s="137"/>
      <c r="F9" s="137"/>
      <c r="G9" s="137"/>
      <c r="H9" s="153"/>
    </row>
    <row r="10" spans="1:8" ht="14.1" customHeight="1">
      <c r="A10" s="129">
        <v>602</v>
      </c>
      <c r="B10" s="140" t="s">
        <v>786</v>
      </c>
      <c r="C10" s="133"/>
      <c r="D10" s="133"/>
      <c r="E10" s="133"/>
      <c r="F10" s="133"/>
      <c r="G10" s="200">
        <v>2000000</v>
      </c>
      <c r="H10" s="154"/>
    </row>
    <row r="11" spans="1:8" ht="14.1" customHeight="1">
      <c r="A11" s="203">
        <v>44522</v>
      </c>
      <c r="B11" s="151" t="s">
        <v>488</v>
      </c>
      <c r="C11" s="133"/>
      <c r="D11" s="133"/>
      <c r="E11" s="241">
        <v>0.185</v>
      </c>
      <c r="F11" s="133"/>
      <c r="G11" s="133">
        <f>G10*E11</f>
        <v>370000</v>
      </c>
      <c r="H11" s="154"/>
    </row>
    <row r="12" spans="1:8" ht="14.1" customHeight="1">
      <c r="A12" s="132"/>
      <c r="B12" s="198">
        <v>520</v>
      </c>
      <c r="C12" s="199" t="s">
        <v>1021</v>
      </c>
      <c r="D12" s="143"/>
      <c r="E12" s="143"/>
      <c r="F12" s="143"/>
      <c r="G12" s="143"/>
      <c r="H12" s="155">
        <f>G11</f>
        <v>370000</v>
      </c>
    </row>
    <row r="13" spans="1:8" ht="14.1" customHeight="1">
      <c r="A13" s="127"/>
      <c r="B13" s="127"/>
      <c r="C13" s="127"/>
      <c r="D13" s="127"/>
      <c r="E13" s="127"/>
      <c r="F13" s="127"/>
      <c r="G13" s="127"/>
      <c r="H13" s="127"/>
    </row>
    <row r="14" spans="1:8" ht="14.1" customHeight="1">
      <c r="A14" s="1168" t="s">
        <v>584</v>
      </c>
      <c r="B14" s="205"/>
      <c r="C14" s="205"/>
      <c r="D14" s="205"/>
      <c r="E14" s="205"/>
      <c r="F14" s="205"/>
      <c r="G14" s="205"/>
      <c r="H14" s="206"/>
    </row>
    <row r="15" spans="1:8" ht="14.1" customHeight="1">
      <c r="A15" s="270">
        <v>4091</v>
      </c>
      <c r="B15" s="151" t="s">
        <v>282</v>
      </c>
      <c r="C15" s="133"/>
      <c r="D15" s="133"/>
      <c r="E15" s="133"/>
      <c r="F15" s="133"/>
      <c r="G15" s="200">
        <v>30000</v>
      </c>
      <c r="H15" s="207"/>
    </row>
    <row r="16" spans="1:8" ht="14.1" customHeight="1">
      <c r="A16" s="208"/>
      <c r="B16" s="133">
        <v>520</v>
      </c>
      <c r="C16" s="133" t="s">
        <v>585</v>
      </c>
      <c r="D16" s="133"/>
      <c r="E16" s="133"/>
      <c r="F16" s="133"/>
      <c r="G16" s="133"/>
      <c r="H16" s="207">
        <f>G15</f>
        <v>30000</v>
      </c>
    </row>
    <row r="17" spans="1:8" ht="14.1" customHeight="1">
      <c r="A17" s="208"/>
      <c r="B17" s="133"/>
      <c r="C17" s="133"/>
      <c r="D17" s="133"/>
      <c r="E17" s="133"/>
      <c r="F17" s="133"/>
      <c r="G17" s="133"/>
      <c r="H17" s="207"/>
    </row>
    <row r="18" spans="1:8" ht="14.1" customHeight="1">
      <c r="A18" s="1169" t="s">
        <v>233</v>
      </c>
      <c r="B18" s="133"/>
      <c r="C18" s="133"/>
      <c r="D18" s="133"/>
      <c r="E18" s="133"/>
      <c r="F18" s="133"/>
      <c r="G18" s="133"/>
      <c r="H18" s="207"/>
    </row>
    <row r="19" spans="1:8" ht="14.1" customHeight="1">
      <c r="A19" s="204">
        <v>602</v>
      </c>
      <c r="B19" s="140" t="s">
        <v>786</v>
      </c>
      <c r="C19" s="133"/>
      <c r="D19" s="133"/>
      <c r="E19" s="133"/>
      <c r="F19" s="133"/>
      <c r="G19" s="200">
        <v>1500000</v>
      </c>
      <c r="H19" s="207"/>
    </row>
    <row r="20" spans="1:8" ht="14.1" customHeight="1">
      <c r="A20" s="203">
        <v>44522</v>
      </c>
      <c r="B20" s="151" t="s">
        <v>488</v>
      </c>
      <c r="C20" s="133"/>
      <c r="D20" s="133"/>
      <c r="E20" s="241">
        <v>0.185</v>
      </c>
      <c r="F20" s="133"/>
      <c r="G20" s="133">
        <f>G19*E20</f>
        <v>277500</v>
      </c>
      <c r="H20" s="207"/>
    </row>
    <row r="21" spans="1:8" ht="14.1" customHeight="1">
      <c r="A21" s="208"/>
      <c r="B21" s="133">
        <v>4091</v>
      </c>
      <c r="C21" s="133" t="s">
        <v>496</v>
      </c>
      <c r="D21" s="133"/>
      <c r="E21" s="133"/>
      <c r="F21" s="133"/>
      <c r="G21" s="133"/>
      <c r="H21" s="207">
        <f>H16</f>
        <v>30000</v>
      </c>
    </row>
    <row r="22" spans="1:8" ht="14.1" customHeight="1">
      <c r="A22" s="208"/>
      <c r="B22" s="149">
        <v>4011</v>
      </c>
      <c r="C22" s="151" t="s">
        <v>276</v>
      </c>
      <c r="D22" s="133"/>
      <c r="E22" s="133"/>
      <c r="F22" s="133"/>
      <c r="G22" s="133"/>
      <c r="H22" s="207">
        <f>G19+G20-H21</f>
        <v>1747500</v>
      </c>
    </row>
    <row r="23" spans="1:8" ht="14.1" customHeight="1">
      <c r="A23" s="271" t="s">
        <v>1111</v>
      </c>
      <c r="B23" s="272"/>
      <c r="C23" s="273"/>
      <c r="D23" s="274"/>
      <c r="E23" s="274"/>
      <c r="F23" s="274"/>
      <c r="G23" s="274"/>
      <c r="H23" s="275"/>
    </row>
    <row r="24" spans="1:8" ht="14.1" customHeight="1">
      <c r="A24" s="271">
        <f>A15</f>
        <v>4091</v>
      </c>
      <c r="B24" s="274" t="str">
        <f>B15</f>
        <v>Fournisseurs avances et acomptes versés</v>
      </c>
      <c r="C24" s="273"/>
      <c r="D24" s="274">
        <f>B16</f>
        <v>520</v>
      </c>
      <c r="E24" s="274" t="str">
        <f>C16</f>
        <v>Banque en monnaie nationale</v>
      </c>
      <c r="F24" s="274"/>
      <c r="G24" s="274"/>
      <c r="H24" s="275">
        <f>G15</f>
        <v>30000</v>
      </c>
    </row>
    <row r="25" spans="1:8" ht="14.1" customHeight="1">
      <c r="A25" s="271">
        <f>A19</f>
        <v>602</v>
      </c>
      <c r="B25" s="274" t="str">
        <f>B19</f>
        <v xml:space="preserve">Achats de marchandises </v>
      </c>
      <c r="C25" s="274"/>
      <c r="D25" s="274">
        <f>B22</f>
        <v>4011</v>
      </c>
      <c r="E25" s="274" t="str">
        <f t="shared" ref="E25" si="0">C22</f>
        <v>Fournisseurs</v>
      </c>
      <c r="F25" s="274"/>
      <c r="G25" s="274"/>
      <c r="H25" s="275">
        <f>SUM(G19:G20)</f>
        <v>1777500</v>
      </c>
    </row>
    <row r="26" spans="1:8" ht="14.1" customHeight="1">
      <c r="A26" s="556" t="s">
        <v>1479</v>
      </c>
      <c r="B26" s="558"/>
      <c r="C26" s="274"/>
      <c r="D26" s="274"/>
      <c r="E26" s="274"/>
      <c r="F26" s="274"/>
      <c r="G26" s="274"/>
      <c r="H26" s="275"/>
    </row>
    <row r="27" spans="1:8" ht="14.1" customHeight="1">
      <c r="A27" s="271">
        <f>D25</f>
        <v>4011</v>
      </c>
      <c r="B27" s="274" t="str">
        <f>E25</f>
        <v>Fournisseurs</v>
      </c>
      <c r="C27" s="274"/>
      <c r="D27" s="274">
        <f>D24</f>
        <v>520</v>
      </c>
      <c r="E27" s="274" t="str">
        <f>E24</f>
        <v>Banque en monnaie nationale</v>
      </c>
      <c r="F27" s="274"/>
      <c r="G27" s="274"/>
      <c r="H27" s="275">
        <f>H22</f>
        <v>1747500</v>
      </c>
    </row>
    <row r="28" spans="1:8" ht="14.1" customHeight="1">
      <c r="A28" s="276">
        <f>A27</f>
        <v>4011</v>
      </c>
      <c r="B28" s="277" t="str">
        <f>B27</f>
        <v>Fournisseurs</v>
      </c>
      <c r="C28" s="277"/>
      <c r="D28" s="277">
        <f>B21</f>
        <v>4091</v>
      </c>
      <c r="E28" s="277" t="str">
        <f>C21</f>
        <v xml:space="preserve">Fournisseurs avances et acomptes versés </v>
      </c>
      <c r="F28" s="277"/>
      <c r="G28" s="277"/>
      <c r="H28" s="278">
        <f>H21</f>
        <v>30000</v>
      </c>
    </row>
    <row r="29" spans="1:8" ht="14.1" customHeight="1">
      <c r="A29" s="127"/>
      <c r="B29" s="127"/>
      <c r="C29" s="127"/>
      <c r="D29" s="127"/>
      <c r="E29" s="127"/>
      <c r="F29" s="127"/>
      <c r="G29" s="127"/>
      <c r="H29" s="127"/>
    </row>
    <row r="30" spans="1:8" ht="14.1" customHeight="1">
      <c r="A30" s="127"/>
      <c r="B30" s="127"/>
      <c r="C30" s="127"/>
      <c r="D30" s="127"/>
      <c r="E30" s="127"/>
      <c r="F30" s="127"/>
      <c r="G30" s="127"/>
      <c r="H30" s="127"/>
    </row>
    <row r="31" spans="1:8" ht="14.1" customHeight="1">
      <c r="A31" s="1167" t="s">
        <v>234</v>
      </c>
      <c r="B31" s="137"/>
      <c r="C31" s="137"/>
      <c r="D31" s="137"/>
      <c r="E31" s="137"/>
      <c r="F31" s="137"/>
      <c r="G31" s="137"/>
      <c r="H31" s="153"/>
    </row>
    <row r="32" spans="1:8" ht="14.1" customHeight="1">
      <c r="A32" s="129">
        <v>602</v>
      </c>
      <c r="B32" s="140" t="s">
        <v>786</v>
      </c>
      <c r="C32" s="133"/>
      <c r="D32" s="133"/>
      <c r="E32" s="133"/>
      <c r="F32" s="133"/>
      <c r="G32" s="200">
        <v>2000000</v>
      </c>
      <c r="H32" s="154"/>
    </row>
    <row r="33" spans="1:8" ht="14.1" customHeight="1">
      <c r="A33" s="203">
        <v>44522</v>
      </c>
      <c r="B33" s="151" t="s">
        <v>488</v>
      </c>
      <c r="C33" s="133"/>
      <c r="D33" s="133"/>
      <c r="E33" s="241">
        <v>0.185</v>
      </c>
      <c r="F33" s="133"/>
      <c r="G33" s="133">
        <f>G32*E33</f>
        <v>370000</v>
      </c>
      <c r="H33" s="154"/>
    </row>
    <row r="34" spans="1:8" ht="14.1" customHeight="1">
      <c r="A34" s="132"/>
      <c r="B34" s="198">
        <v>4011</v>
      </c>
      <c r="C34" s="199" t="s">
        <v>276</v>
      </c>
      <c r="D34" s="143"/>
      <c r="E34" s="143"/>
      <c r="F34" s="143"/>
      <c r="G34" s="143"/>
      <c r="H34" s="155">
        <f>G33</f>
        <v>370000</v>
      </c>
    </row>
    <row r="35" spans="1:8" ht="14.1" customHeight="1">
      <c r="A35" s="271" t="s">
        <v>1111</v>
      </c>
      <c r="B35" s="272"/>
      <c r="C35" s="273"/>
      <c r="D35" s="274"/>
      <c r="E35" s="274"/>
      <c r="F35" s="274"/>
      <c r="G35" s="274"/>
      <c r="H35" s="279"/>
    </row>
    <row r="36" spans="1:8" ht="14.1" customHeight="1">
      <c r="A36" s="280">
        <f>A32</f>
        <v>602</v>
      </c>
      <c r="B36" s="280" t="str">
        <f>B32</f>
        <v xml:space="preserve">Achats de marchandises </v>
      </c>
      <c r="C36" s="273"/>
      <c r="D36" s="274">
        <f>B34</f>
        <v>4011</v>
      </c>
      <c r="E36" s="274" t="str">
        <f>C34</f>
        <v>Fournisseurs</v>
      </c>
      <c r="F36" s="274"/>
      <c r="G36" s="274"/>
      <c r="H36" s="279">
        <f>H34</f>
        <v>370000</v>
      </c>
    </row>
    <row r="37" spans="1:8" ht="14.1" customHeight="1">
      <c r="A37" s="556" t="s">
        <v>1479</v>
      </c>
      <c r="B37" s="558"/>
      <c r="C37" s="274"/>
      <c r="D37" s="274"/>
      <c r="E37" s="274"/>
      <c r="F37" s="274"/>
      <c r="G37" s="274"/>
      <c r="H37" s="275"/>
    </row>
    <row r="38" spans="1:8" ht="14.1" customHeight="1">
      <c r="A38" s="271">
        <f>D36</f>
        <v>4011</v>
      </c>
      <c r="B38" s="274" t="str">
        <f>E36</f>
        <v>Fournisseurs</v>
      </c>
      <c r="C38" s="274"/>
      <c r="D38" s="274">
        <v>520</v>
      </c>
      <c r="E38" s="274" t="s">
        <v>585</v>
      </c>
      <c r="F38" s="274"/>
      <c r="G38" s="274"/>
      <c r="H38" s="275">
        <f>H36</f>
        <v>370000</v>
      </c>
    </row>
    <row r="39" spans="1:8" ht="14.1" customHeight="1">
      <c r="A39" s="280"/>
      <c r="B39" s="272"/>
      <c r="C39" s="273"/>
      <c r="D39" s="274"/>
      <c r="E39" s="274"/>
      <c r="F39" s="274"/>
      <c r="G39" s="274"/>
      <c r="H39" s="279"/>
    </row>
    <row r="40" spans="1:8" ht="14.1" customHeight="1">
      <c r="A40" s="128"/>
      <c r="B40" s="137"/>
      <c r="C40" s="137"/>
      <c r="D40" s="137"/>
      <c r="E40" s="137"/>
      <c r="F40" s="137"/>
      <c r="G40" s="137"/>
      <c r="H40" s="153"/>
    </row>
    <row r="41" spans="1:8" ht="14.1" customHeight="1">
      <c r="A41" s="1168" t="s">
        <v>235</v>
      </c>
      <c r="B41" s="205"/>
      <c r="C41" s="205"/>
      <c r="D41" s="205"/>
      <c r="E41" s="205"/>
      <c r="F41" s="205"/>
      <c r="G41" s="205"/>
      <c r="H41" s="206"/>
    </row>
    <row r="42" spans="1:8" ht="14.1" customHeight="1">
      <c r="A42" s="204">
        <v>602</v>
      </c>
      <c r="B42" s="140" t="s">
        <v>786</v>
      </c>
      <c r="C42" s="133"/>
      <c r="D42" s="133"/>
      <c r="E42" s="133"/>
      <c r="F42" s="133"/>
      <c r="G42" s="200">
        <v>3000000</v>
      </c>
      <c r="H42" s="207"/>
    </row>
    <row r="43" spans="1:8" ht="14.1" customHeight="1">
      <c r="A43" s="270">
        <v>611</v>
      </c>
      <c r="B43" s="138" t="s">
        <v>369</v>
      </c>
      <c r="C43" s="133"/>
      <c r="D43" s="133"/>
      <c r="E43" s="133"/>
      <c r="F43" s="133"/>
      <c r="G43" s="200">
        <v>20000</v>
      </c>
      <c r="H43" s="207"/>
    </row>
    <row r="44" spans="1:8" ht="14.1" customHeight="1">
      <c r="A44" s="203">
        <v>44522</v>
      </c>
      <c r="B44" s="151" t="s">
        <v>488</v>
      </c>
      <c r="C44" s="133"/>
      <c r="D44" s="133"/>
      <c r="E44" s="241">
        <v>0.185</v>
      </c>
      <c r="F44" s="133"/>
      <c r="G44" s="133">
        <f>(G42+G43)*E44</f>
        <v>558700</v>
      </c>
      <c r="H44" s="207"/>
    </row>
    <row r="45" spans="1:8" ht="14.1" customHeight="1">
      <c r="A45" s="208"/>
      <c r="B45" s="149">
        <v>4011</v>
      </c>
      <c r="C45" s="151" t="s">
        <v>276</v>
      </c>
      <c r="D45" s="133"/>
      <c r="E45" s="133"/>
      <c r="F45" s="133"/>
      <c r="G45" s="133"/>
      <c r="H45" s="207">
        <f>SUM(G42:G44)</f>
        <v>3578700</v>
      </c>
    </row>
    <row r="46" spans="1:8" ht="14.1" customHeight="1">
      <c r="A46" s="271" t="s">
        <v>1111</v>
      </c>
      <c r="B46" s="272"/>
      <c r="C46" s="274"/>
      <c r="D46" s="274"/>
      <c r="E46" s="274"/>
      <c r="F46" s="274"/>
      <c r="G46" s="274"/>
      <c r="H46" s="275"/>
    </row>
    <row r="47" spans="1:8" ht="14.1" customHeight="1">
      <c r="A47" s="271">
        <f>A42</f>
        <v>602</v>
      </c>
      <c r="B47" s="274" t="str">
        <f>B42</f>
        <v xml:space="preserve">Achats de marchandises </v>
      </c>
      <c r="C47" s="274"/>
      <c r="D47" s="274">
        <f>B45</f>
        <v>4011</v>
      </c>
      <c r="E47" s="274" t="str">
        <f>C45</f>
        <v>Fournisseurs</v>
      </c>
      <c r="F47" s="274"/>
      <c r="G47" s="274"/>
      <c r="H47" s="275">
        <f>G42*(1+E44)</f>
        <v>3555000</v>
      </c>
    </row>
    <row r="48" spans="1:8" ht="14.1" customHeight="1">
      <c r="A48" s="271">
        <f>A43</f>
        <v>611</v>
      </c>
      <c r="B48" s="274" t="str">
        <f>B43</f>
        <v>Frais de transport sur achat</v>
      </c>
      <c r="C48" s="274"/>
      <c r="D48" s="274">
        <f>D47</f>
        <v>4011</v>
      </c>
      <c r="E48" s="274" t="str">
        <f>E47</f>
        <v>Fournisseurs</v>
      </c>
      <c r="F48" s="274"/>
      <c r="G48" s="274"/>
      <c r="H48" s="275">
        <f>G43*(1+E44)</f>
        <v>23700</v>
      </c>
    </row>
    <row r="49" spans="1:8" ht="14.1" customHeight="1">
      <c r="A49" s="556" t="s">
        <v>1479</v>
      </c>
      <c r="B49" s="558"/>
      <c r="C49" s="274"/>
      <c r="D49" s="274"/>
      <c r="E49" s="274"/>
      <c r="F49" s="274"/>
      <c r="G49" s="274"/>
      <c r="H49" s="275"/>
    </row>
    <row r="50" spans="1:8" ht="14.1" customHeight="1">
      <c r="A50" s="276">
        <f>D48</f>
        <v>4011</v>
      </c>
      <c r="B50" s="277" t="str">
        <f>E48</f>
        <v>Fournisseurs</v>
      </c>
      <c r="C50" s="277"/>
      <c r="D50" s="277">
        <v>520</v>
      </c>
      <c r="E50" s="277" t="s">
        <v>585</v>
      </c>
      <c r="F50" s="277"/>
      <c r="G50" s="277"/>
      <c r="H50" s="278">
        <f>SUM(H47:H48)</f>
        <v>3578700</v>
      </c>
    </row>
    <row r="51" spans="1:8" ht="14.1" customHeight="1">
      <c r="A51" s="127"/>
      <c r="B51" s="127"/>
      <c r="C51" s="127"/>
      <c r="D51" s="127"/>
      <c r="E51" s="127"/>
      <c r="F51" s="127"/>
      <c r="G51" s="127"/>
      <c r="H51" s="127"/>
    </row>
    <row r="52" spans="1:8" ht="14.1" customHeight="1">
      <c r="A52" s="127"/>
      <c r="B52" s="127"/>
      <c r="C52" s="127"/>
      <c r="D52" s="127"/>
      <c r="E52" s="127"/>
      <c r="F52" s="127"/>
      <c r="G52" s="127"/>
      <c r="H52" s="127"/>
    </row>
    <row r="53" spans="1:8" ht="14.1" customHeight="1">
      <c r="A53" s="1168" t="s">
        <v>236</v>
      </c>
      <c r="B53" s="205"/>
      <c r="C53" s="205"/>
      <c r="D53" s="205"/>
      <c r="E53" s="205"/>
      <c r="F53" s="205"/>
      <c r="G53" s="205"/>
      <c r="H53" s="206"/>
    </row>
    <row r="54" spans="1:8" ht="14.1" customHeight="1">
      <c r="A54" s="204">
        <v>602</v>
      </c>
      <c r="B54" s="140" t="s">
        <v>786</v>
      </c>
      <c r="C54" s="133"/>
      <c r="D54" s="133"/>
      <c r="E54" s="133"/>
      <c r="F54" s="133"/>
      <c r="G54" s="200">
        <v>1000000</v>
      </c>
      <c r="H54" s="207"/>
    </row>
    <row r="55" spans="1:8" ht="14.1" customHeight="1">
      <c r="A55" s="203">
        <v>44522</v>
      </c>
      <c r="B55" s="151" t="s">
        <v>488</v>
      </c>
      <c r="C55" s="133"/>
      <c r="D55" s="133"/>
      <c r="E55" s="241">
        <v>0.185</v>
      </c>
      <c r="F55" s="133"/>
      <c r="G55" s="133">
        <f>G54*E55</f>
        <v>185000</v>
      </c>
      <c r="H55" s="207"/>
    </row>
    <row r="56" spans="1:8" ht="14.1" customHeight="1">
      <c r="A56" s="208"/>
      <c r="B56" s="147">
        <v>7731</v>
      </c>
      <c r="C56" s="201" t="s">
        <v>803</v>
      </c>
      <c r="D56" s="133"/>
      <c r="E56" s="133"/>
      <c r="F56" s="133"/>
      <c r="G56" s="133"/>
      <c r="H56" s="281">
        <v>5000</v>
      </c>
    </row>
    <row r="57" spans="1:8" ht="14.1" customHeight="1">
      <c r="A57" s="208"/>
      <c r="B57" s="149">
        <v>4011</v>
      </c>
      <c r="C57" s="151" t="s">
        <v>276</v>
      </c>
      <c r="D57" s="133"/>
      <c r="E57" s="133"/>
      <c r="F57" s="133"/>
      <c r="G57" s="133"/>
      <c r="H57" s="207">
        <f>G54+G55-H56</f>
        <v>1180000</v>
      </c>
    </row>
    <row r="58" spans="1:8" ht="14.1" customHeight="1">
      <c r="A58" s="271" t="s">
        <v>1111</v>
      </c>
      <c r="B58" s="272"/>
      <c r="C58" s="274"/>
      <c r="D58" s="274"/>
      <c r="E58" s="274"/>
      <c r="F58" s="274"/>
      <c r="G58" s="274"/>
      <c r="H58" s="275"/>
    </row>
    <row r="59" spans="1:8" ht="14.1" customHeight="1">
      <c r="A59" s="271">
        <f>A54</f>
        <v>602</v>
      </c>
      <c r="B59" s="274" t="str">
        <f>B54</f>
        <v xml:space="preserve">Achats de marchandises </v>
      </c>
      <c r="C59" s="274"/>
      <c r="D59" s="274">
        <f>B57</f>
        <v>4011</v>
      </c>
      <c r="E59" s="274" t="str">
        <f>C57</f>
        <v>Fournisseurs</v>
      </c>
      <c r="F59" s="274"/>
      <c r="G59" s="274"/>
      <c r="H59" s="275">
        <f>G54*(1+E55)</f>
        <v>1185000</v>
      </c>
    </row>
    <row r="60" spans="1:8" ht="14.1" customHeight="1">
      <c r="A60" s="556" t="s">
        <v>1479</v>
      </c>
      <c r="B60" s="558"/>
      <c r="C60" s="274"/>
      <c r="D60" s="274"/>
      <c r="E60" s="274"/>
      <c r="F60" s="274"/>
      <c r="G60" s="274"/>
      <c r="H60" s="275"/>
    </row>
    <row r="61" spans="1:8" ht="14.1" customHeight="1">
      <c r="A61" s="271">
        <f>D59</f>
        <v>4011</v>
      </c>
      <c r="B61" s="274" t="str">
        <f>E59</f>
        <v>Fournisseurs</v>
      </c>
      <c r="C61" s="274"/>
      <c r="D61" s="274">
        <v>520</v>
      </c>
      <c r="E61" s="274" t="s">
        <v>585</v>
      </c>
      <c r="F61" s="274"/>
      <c r="G61" s="274"/>
      <c r="H61" s="275">
        <f>H57</f>
        <v>1180000</v>
      </c>
    </row>
    <row r="62" spans="1:8" ht="14.1" customHeight="1">
      <c r="A62" s="276">
        <f>B57</f>
        <v>4011</v>
      </c>
      <c r="B62" s="277" t="str">
        <f>C57</f>
        <v>Fournisseurs</v>
      </c>
      <c r="C62" s="277"/>
      <c r="D62" s="277">
        <f>B56</f>
        <v>7731</v>
      </c>
      <c r="E62" s="277" t="str">
        <f t="shared" ref="E62:F62" si="1">C56</f>
        <v xml:space="preserve">Escomptes obtenus à </v>
      </c>
      <c r="F62" s="277">
        <f t="shared" si="1"/>
        <v>0</v>
      </c>
      <c r="G62" s="277"/>
      <c r="H62" s="278">
        <f>H56</f>
        <v>5000</v>
      </c>
    </row>
    <row r="63" spans="1:8" ht="14.1" customHeight="1">
      <c r="A63" s="127"/>
      <c r="B63" s="127"/>
      <c r="C63" s="127"/>
      <c r="D63" s="127"/>
      <c r="E63" s="127"/>
      <c r="F63" s="127"/>
      <c r="G63" s="127"/>
      <c r="H63" s="127"/>
    </row>
    <row r="64" spans="1:8" ht="14.1" customHeight="1">
      <c r="A64" s="1167" t="s">
        <v>237</v>
      </c>
      <c r="B64" s="137"/>
      <c r="C64" s="137"/>
      <c r="D64" s="137"/>
      <c r="E64" s="137"/>
      <c r="F64" s="137"/>
      <c r="G64" s="137"/>
      <c r="H64" s="153"/>
    </row>
    <row r="65" spans="1:8" ht="14.1" customHeight="1">
      <c r="A65" s="129">
        <v>6021</v>
      </c>
      <c r="B65" s="140" t="s">
        <v>787</v>
      </c>
      <c r="C65" s="133"/>
      <c r="D65" s="133"/>
      <c r="E65" s="133"/>
      <c r="F65" s="133"/>
      <c r="G65" s="200">
        <v>2000000</v>
      </c>
      <c r="H65" s="154"/>
    </row>
    <row r="66" spans="1:8" ht="14.1" customHeight="1">
      <c r="A66" s="134">
        <v>44532</v>
      </c>
      <c r="B66" s="142" t="s">
        <v>487</v>
      </c>
      <c r="C66" s="133"/>
      <c r="D66" s="133"/>
      <c r="E66" s="241">
        <v>0.185</v>
      </c>
      <c r="F66" s="133"/>
      <c r="G66" s="133">
        <f>G65*E66</f>
        <v>370000</v>
      </c>
      <c r="H66" s="154"/>
    </row>
    <row r="67" spans="1:8" ht="14.1" customHeight="1">
      <c r="A67" s="132">
        <f>H67</f>
        <v>2370000</v>
      </c>
      <c r="B67" s="198">
        <v>4011</v>
      </c>
      <c r="C67" s="199" t="s">
        <v>276</v>
      </c>
      <c r="D67" s="143"/>
      <c r="E67" s="143"/>
      <c r="F67" s="143"/>
      <c r="G67" s="143"/>
      <c r="H67" s="155">
        <f>SUM(G65:G66)</f>
        <v>2370000</v>
      </c>
    </row>
    <row r="68" spans="1:8" ht="14.1" customHeight="1">
      <c r="A68" s="271" t="s">
        <v>1111</v>
      </c>
      <c r="B68" s="272"/>
      <c r="C68" s="274"/>
      <c r="D68" s="274"/>
      <c r="E68" s="274"/>
      <c r="F68" s="274"/>
      <c r="G68" s="274"/>
      <c r="H68" s="275"/>
    </row>
    <row r="69" spans="1:8" ht="14.1" customHeight="1">
      <c r="A69" s="271">
        <f>A65</f>
        <v>6021</v>
      </c>
      <c r="B69" s="274" t="str">
        <f>B65</f>
        <v xml:space="preserve">MP, fournitures &amp; Emb. dans l'UÉMOA </v>
      </c>
      <c r="C69" s="274"/>
      <c r="D69" s="274">
        <f>B67</f>
        <v>4011</v>
      </c>
      <c r="E69" s="274" t="str">
        <f>C67</f>
        <v>Fournisseurs</v>
      </c>
      <c r="F69" s="274"/>
      <c r="G69" s="274"/>
      <c r="H69" s="275">
        <f>G65*(1+E66)</f>
        <v>2370000</v>
      </c>
    </row>
    <row r="70" spans="1:8" ht="14.1" customHeight="1">
      <c r="A70" s="556" t="s">
        <v>1479</v>
      </c>
      <c r="B70" s="558"/>
      <c r="C70" s="274"/>
      <c r="D70" s="274"/>
      <c r="E70" s="274"/>
      <c r="F70" s="274"/>
      <c r="G70" s="274"/>
      <c r="H70" s="275"/>
    </row>
    <row r="71" spans="1:8" ht="14.1" customHeight="1">
      <c r="A71" s="271">
        <f>D69</f>
        <v>4011</v>
      </c>
      <c r="B71" s="274" t="str">
        <f>E69</f>
        <v>Fournisseurs</v>
      </c>
      <c r="C71" s="274"/>
      <c r="D71" s="274">
        <v>520</v>
      </c>
      <c r="E71" s="274" t="s">
        <v>585</v>
      </c>
      <c r="F71" s="274"/>
      <c r="G71" s="274"/>
      <c r="H71" s="275">
        <f>H67</f>
        <v>2370000</v>
      </c>
    </row>
    <row r="72" spans="1:8" ht="14.1" customHeight="1">
      <c r="A72" s="127"/>
      <c r="B72" s="127"/>
      <c r="C72" s="127"/>
      <c r="D72" s="127"/>
      <c r="E72" s="127"/>
      <c r="F72" s="127"/>
      <c r="G72" s="127"/>
      <c r="H72" s="127"/>
    </row>
    <row r="73" spans="1:8" ht="14.1" customHeight="1">
      <c r="A73" s="1167" t="s">
        <v>238</v>
      </c>
      <c r="B73" s="137"/>
      <c r="C73" s="137"/>
      <c r="D73" s="137"/>
      <c r="E73" s="137"/>
      <c r="F73" s="137"/>
      <c r="G73" s="137"/>
      <c r="H73" s="153"/>
    </row>
    <row r="74" spans="1:8" ht="14.1" customHeight="1">
      <c r="A74" s="131">
        <v>250</v>
      </c>
      <c r="B74" s="148" t="s">
        <v>320</v>
      </c>
      <c r="C74" s="133"/>
      <c r="D74" s="133"/>
      <c r="E74" s="133"/>
      <c r="F74" s="133"/>
      <c r="G74" s="200">
        <v>500000</v>
      </c>
      <c r="H74" s="154"/>
    </row>
    <row r="75" spans="1:8" ht="14.1" customHeight="1">
      <c r="A75" s="130"/>
      <c r="B75" s="133">
        <v>520</v>
      </c>
      <c r="C75" s="133" t="s">
        <v>239</v>
      </c>
      <c r="D75" s="133"/>
      <c r="E75" s="133"/>
      <c r="F75" s="133"/>
      <c r="G75" s="133"/>
      <c r="H75" s="154">
        <f>G74</f>
        <v>500000</v>
      </c>
    </row>
    <row r="76" spans="1:8" ht="14.1" customHeight="1">
      <c r="A76" s="130"/>
      <c r="B76" s="133"/>
      <c r="C76" s="133"/>
      <c r="D76" s="133"/>
      <c r="E76" s="133"/>
      <c r="F76" s="133"/>
      <c r="G76" s="133"/>
      <c r="H76" s="154"/>
    </row>
    <row r="77" spans="1:8" ht="14.1" customHeight="1">
      <c r="A77" s="1170" t="s">
        <v>240</v>
      </c>
      <c r="B77" s="133"/>
      <c r="C77" s="133"/>
      <c r="D77" s="133"/>
      <c r="E77" s="133"/>
      <c r="F77" s="133"/>
      <c r="G77" s="133"/>
      <c r="H77" s="154"/>
    </row>
    <row r="78" spans="1:8" ht="14.1" customHeight="1">
      <c r="A78" s="131">
        <v>245</v>
      </c>
      <c r="B78" s="148" t="s">
        <v>160</v>
      </c>
      <c r="C78" s="133"/>
      <c r="D78" s="133"/>
      <c r="E78" s="133"/>
      <c r="F78" s="133"/>
      <c r="G78" s="200">
        <v>4000000</v>
      </c>
      <c r="H78" s="154"/>
    </row>
    <row r="79" spans="1:8" ht="14.1" customHeight="1">
      <c r="A79" s="203">
        <v>44522</v>
      </c>
      <c r="B79" s="151" t="s">
        <v>488</v>
      </c>
      <c r="C79" s="133"/>
      <c r="D79" s="133"/>
      <c r="E79" s="241">
        <v>0.185</v>
      </c>
      <c r="F79" s="133"/>
      <c r="G79" s="133">
        <f>G78*E79</f>
        <v>740000</v>
      </c>
      <c r="H79" s="154"/>
    </row>
    <row r="80" spans="1:8" ht="14.1" customHeight="1">
      <c r="A80" s="130"/>
      <c r="B80" s="139">
        <v>250</v>
      </c>
      <c r="C80" s="148" t="s">
        <v>320</v>
      </c>
      <c r="D80" s="133"/>
      <c r="E80" s="133"/>
      <c r="F80" s="133"/>
      <c r="G80" s="133"/>
      <c r="H80" s="154">
        <f>H75</f>
        <v>500000</v>
      </c>
    </row>
    <row r="81" spans="1:8" ht="14.1" customHeight="1">
      <c r="A81" s="132"/>
      <c r="B81" s="198">
        <v>4011</v>
      </c>
      <c r="C81" s="199" t="s">
        <v>276</v>
      </c>
      <c r="D81" s="143"/>
      <c r="E81" s="143"/>
      <c r="F81" s="143"/>
      <c r="G81" s="143"/>
      <c r="H81" s="155">
        <f>G78+G79-H80</f>
        <v>4240000</v>
      </c>
    </row>
    <row r="82" spans="1:8" ht="14.1" customHeight="1">
      <c r="A82" s="271" t="s">
        <v>1111</v>
      </c>
      <c r="B82" s="272"/>
      <c r="C82" s="274"/>
      <c r="D82" s="274"/>
      <c r="E82" s="274"/>
      <c r="F82" s="274"/>
      <c r="G82" s="274"/>
      <c r="H82" s="275"/>
    </row>
    <row r="83" spans="1:8" ht="14.1" customHeight="1">
      <c r="A83" s="271">
        <f>A74</f>
        <v>250</v>
      </c>
      <c r="B83" s="271" t="str">
        <f>B74</f>
        <v>Avances, acomptes versés sur immobilisations</v>
      </c>
      <c r="C83" s="274"/>
      <c r="D83" s="274">
        <f>B75</f>
        <v>520</v>
      </c>
      <c r="E83" s="274" t="str">
        <f>C75</f>
        <v>BANQE</v>
      </c>
      <c r="F83" s="274"/>
      <c r="G83" s="274"/>
      <c r="H83" s="275">
        <f>H75</f>
        <v>500000</v>
      </c>
    </row>
    <row r="84" spans="1:8" ht="14.1" customHeight="1">
      <c r="A84" s="271">
        <f>A78</f>
        <v>245</v>
      </c>
      <c r="B84" s="271" t="str">
        <f>B78</f>
        <v>Matériel de transport</v>
      </c>
      <c r="C84" s="274"/>
      <c r="D84" s="274">
        <f>B81</f>
        <v>4011</v>
      </c>
      <c r="E84" s="274" t="str">
        <f>C81</f>
        <v>Fournisseurs</v>
      </c>
      <c r="F84" s="274"/>
      <c r="G84" s="274"/>
      <c r="H84" s="275">
        <f>G78*(1+E79)</f>
        <v>4740000</v>
      </c>
    </row>
    <row r="85" spans="1:8" ht="14.1" customHeight="1">
      <c r="A85" s="556" t="s">
        <v>1479</v>
      </c>
      <c r="B85" s="558"/>
      <c r="C85" s="274"/>
      <c r="D85" s="274"/>
      <c r="E85" s="274"/>
      <c r="F85" s="274"/>
      <c r="G85" s="274"/>
      <c r="H85" s="275"/>
    </row>
    <row r="86" spans="1:8" ht="14.1" customHeight="1">
      <c r="A86" s="271">
        <f>B81</f>
        <v>4011</v>
      </c>
      <c r="B86" s="271" t="str">
        <f>C81</f>
        <v>Fournisseurs</v>
      </c>
      <c r="C86" s="274"/>
      <c r="D86" s="274">
        <v>520</v>
      </c>
      <c r="E86" s="274" t="s">
        <v>585</v>
      </c>
      <c r="F86" s="274"/>
      <c r="G86" s="274"/>
      <c r="H86" s="275">
        <f>H81</f>
        <v>4240000</v>
      </c>
    </row>
    <row r="87" spans="1:8" ht="14.1" customHeight="1">
      <c r="A87" s="276">
        <f>B81</f>
        <v>4011</v>
      </c>
      <c r="B87" s="277" t="str">
        <f>C81</f>
        <v>Fournisseurs</v>
      </c>
      <c r="C87" s="277"/>
      <c r="D87" s="277">
        <f>A83</f>
        <v>250</v>
      </c>
      <c r="E87" s="277" t="str">
        <f t="shared" ref="E87" si="2">B83</f>
        <v>Avances, acomptes versés sur immobilisations</v>
      </c>
      <c r="F87" s="277"/>
      <c r="G87" s="277"/>
      <c r="H87" s="278">
        <f>H80</f>
        <v>500000</v>
      </c>
    </row>
    <row r="88" spans="1:8" ht="14.1" customHeight="1">
      <c r="A88" s="127"/>
      <c r="B88" s="127"/>
      <c r="C88" s="127"/>
      <c r="D88" s="127"/>
      <c r="E88" s="127"/>
      <c r="F88" s="127"/>
      <c r="G88" s="127"/>
      <c r="H88" s="127"/>
    </row>
    <row r="89" spans="1:8" ht="14.1" customHeight="1">
      <c r="A89" s="1168" t="s">
        <v>805</v>
      </c>
      <c r="B89" s="205"/>
      <c r="C89" s="205"/>
      <c r="D89" s="205"/>
      <c r="E89" s="205"/>
      <c r="F89" s="205"/>
      <c r="G89" s="205"/>
      <c r="H89" s="206"/>
    </row>
    <row r="90" spans="1:8" ht="14.1" customHeight="1">
      <c r="A90" s="282">
        <v>244</v>
      </c>
      <c r="B90" s="148" t="s">
        <v>586</v>
      </c>
      <c r="C90" s="133"/>
      <c r="D90" s="133"/>
      <c r="E90" s="133"/>
      <c r="F90" s="133"/>
      <c r="G90" s="200">
        <v>1200000</v>
      </c>
      <c r="H90" s="207"/>
    </row>
    <row r="91" spans="1:8" ht="14.1" customHeight="1">
      <c r="A91" s="203">
        <v>44522</v>
      </c>
      <c r="B91" s="151" t="s">
        <v>488</v>
      </c>
      <c r="C91" s="133"/>
      <c r="D91" s="133"/>
      <c r="E91" s="241">
        <v>0.185</v>
      </c>
      <c r="F91" s="133"/>
      <c r="G91" s="133">
        <f>G90*E91</f>
        <v>222000</v>
      </c>
      <c r="H91" s="207"/>
    </row>
    <row r="92" spans="1:8" ht="14.1" customHeight="1">
      <c r="A92" s="208"/>
      <c r="B92" s="146">
        <v>7582</v>
      </c>
      <c r="C92" s="144" t="s">
        <v>804</v>
      </c>
      <c r="D92" s="133"/>
      <c r="E92" s="133"/>
      <c r="F92" s="133"/>
      <c r="G92" s="133"/>
      <c r="H92" s="207">
        <f>G90</f>
        <v>1200000</v>
      </c>
    </row>
    <row r="93" spans="1:8" ht="14.1" customHeight="1">
      <c r="A93" s="208"/>
      <c r="B93" s="151">
        <v>4431</v>
      </c>
      <c r="C93" s="133" t="s">
        <v>587</v>
      </c>
      <c r="D93" s="133"/>
      <c r="E93" s="133"/>
      <c r="F93" s="133"/>
      <c r="G93" s="133"/>
      <c r="H93" s="207">
        <f>G91</f>
        <v>222000</v>
      </c>
    </row>
    <row r="94" spans="1:8" ht="14.1" customHeight="1">
      <c r="A94" s="271" t="s">
        <v>1111</v>
      </c>
      <c r="B94" s="272"/>
      <c r="C94" s="274"/>
      <c r="D94" s="274"/>
      <c r="E94" s="274"/>
      <c r="F94" s="274"/>
      <c r="G94" s="274"/>
      <c r="H94" s="275"/>
    </row>
    <row r="95" spans="1:8" ht="14.1" customHeight="1">
      <c r="A95" s="276">
        <f>A90</f>
        <v>244</v>
      </c>
      <c r="B95" s="277" t="str">
        <f>B90</f>
        <v>Matériel et mobilier</v>
      </c>
      <c r="C95" s="277"/>
      <c r="D95" s="277">
        <f>B92</f>
        <v>7582</v>
      </c>
      <c r="E95" s="277" t="str">
        <f>C92</f>
        <v xml:space="preserve">Autoconsommation à </v>
      </c>
      <c r="F95" s="277"/>
      <c r="G95" s="277"/>
      <c r="H95" s="283">
        <f>G90*(1+E91)</f>
        <v>1422000</v>
      </c>
    </row>
    <row r="96" spans="1:8" ht="14.1" customHeight="1">
      <c r="A96" s="127"/>
      <c r="B96" s="127"/>
      <c r="C96" s="127"/>
      <c r="D96" s="127"/>
      <c r="E96" s="127"/>
      <c r="F96" s="127"/>
      <c r="G96" s="127"/>
      <c r="H96" s="127"/>
    </row>
    <row r="97" spans="1:8" ht="14.1" customHeight="1">
      <c r="A97" s="127"/>
      <c r="B97" s="127"/>
      <c r="C97" s="127"/>
      <c r="D97" s="127"/>
      <c r="E97" s="127"/>
      <c r="F97" s="127"/>
      <c r="G97" s="127"/>
      <c r="H97" s="127"/>
    </row>
    <row r="98" spans="1:8" ht="14.1" customHeight="1">
      <c r="A98" s="1168" t="s">
        <v>573</v>
      </c>
      <c r="B98" s="205"/>
      <c r="C98" s="205"/>
      <c r="D98" s="205"/>
      <c r="E98" s="205"/>
      <c r="F98" s="205"/>
      <c r="G98" s="205"/>
      <c r="H98" s="206"/>
    </row>
    <row r="99" spans="1:8" ht="14.1" customHeight="1">
      <c r="A99" s="270">
        <v>4011</v>
      </c>
      <c r="B99" s="151" t="s">
        <v>276</v>
      </c>
      <c r="C99" s="133"/>
      <c r="D99" s="133"/>
      <c r="E99" s="133"/>
      <c r="F99" s="133"/>
      <c r="G99" s="133">
        <f>H101+H100</f>
        <v>3555000</v>
      </c>
      <c r="H99" s="207"/>
    </row>
    <row r="100" spans="1:8" ht="14.1" customHeight="1">
      <c r="A100" s="208"/>
      <c r="B100" s="203">
        <v>44522</v>
      </c>
      <c r="C100" s="151" t="s">
        <v>488</v>
      </c>
      <c r="D100" s="133"/>
      <c r="E100" s="241">
        <v>0.185</v>
      </c>
      <c r="F100" s="133"/>
      <c r="G100" s="133"/>
      <c r="H100" s="207">
        <f>H101*E100</f>
        <v>555000</v>
      </c>
    </row>
    <row r="101" spans="1:8" ht="14.1" customHeight="1">
      <c r="A101" s="208"/>
      <c r="B101" s="147">
        <v>602</v>
      </c>
      <c r="C101" s="140" t="s">
        <v>786</v>
      </c>
      <c r="D101" s="133"/>
      <c r="E101" s="133"/>
      <c r="F101" s="133"/>
      <c r="G101" s="133"/>
      <c r="H101" s="281">
        <v>3000000</v>
      </c>
    </row>
    <row r="102" spans="1:8" ht="14.1" customHeight="1">
      <c r="A102" s="271" t="s">
        <v>1111</v>
      </c>
      <c r="B102" s="272"/>
      <c r="C102" s="284"/>
      <c r="D102" s="274"/>
      <c r="E102" s="274"/>
      <c r="F102" s="274"/>
      <c r="G102" s="274"/>
      <c r="H102" s="285"/>
    </row>
    <row r="103" spans="1:8" ht="14.1" customHeight="1">
      <c r="A103" s="276">
        <f>A99</f>
        <v>4011</v>
      </c>
      <c r="B103" s="277" t="str">
        <f>B99</f>
        <v>Fournisseurs</v>
      </c>
      <c r="C103" s="277"/>
      <c r="D103" s="277">
        <f>B101</f>
        <v>602</v>
      </c>
      <c r="E103" s="277" t="str">
        <f>C101</f>
        <v xml:space="preserve">Achats de marchandises </v>
      </c>
      <c r="F103" s="277"/>
      <c r="G103" s="277"/>
      <c r="H103" s="278">
        <f>G99</f>
        <v>3555000</v>
      </c>
    </row>
    <row r="104" spans="1:8" ht="14.1" customHeight="1">
      <c r="A104" s="127"/>
      <c r="B104" s="127"/>
      <c r="C104" s="127"/>
      <c r="D104" s="127"/>
      <c r="E104" s="127"/>
      <c r="F104" s="127"/>
      <c r="G104" s="127"/>
      <c r="H104" s="127"/>
    </row>
    <row r="105" spans="1:8" ht="14.1" customHeight="1">
      <c r="A105" s="127"/>
      <c r="B105" s="127"/>
      <c r="C105" s="127"/>
      <c r="D105" s="127"/>
      <c r="E105" s="127"/>
      <c r="F105" s="127"/>
      <c r="G105" s="127"/>
      <c r="H105" s="127"/>
    </row>
    <row r="106" spans="1:8" ht="14.1" customHeight="1">
      <c r="A106" s="1167" t="s">
        <v>241</v>
      </c>
      <c r="B106" s="137"/>
      <c r="C106" s="137"/>
      <c r="D106" s="137"/>
      <c r="E106" s="137"/>
      <c r="F106" s="137"/>
      <c r="G106" s="137"/>
      <c r="H106" s="153"/>
    </row>
    <row r="107" spans="1:8" ht="14.1" customHeight="1">
      <c r="A107" s="135">
        <v>4011</v>
      </c>
      <c r="B107" s="151" t="s">
        <v>276</v>
      </c>
      <c r="C107" s="133"/>
      <c r="D107" s="133"/>
      <c r="E107" s="133"/>
      <c r="F107" s="133"/>
      <c r="G107" s="133">
        <f>H109+H108</f>
        <v>11850</v>
      </c>
      <c r="H107" s="154"/>
    </row>
    <row r="108" spans="1:8" ht="14.1" customHeight="1">
      <c r="A108" s="130"/>
      <c r="B108" s="203">
        <v>44522</v>
      </c>
      <c r="C108" s="151" t="s">
        <v>488</v>
      </c>
      <c r="D108" s="133"/>
      <c r="E108" s="241">
        <v>0.185</v>
      </c>
      <c r="F108" s="133"/>
      <c r="G108" s="133"/>
      <c r="H108" s="154">
        <f>H109*E108</f>
        <v>1850</v>
      </c>
    </row>
    <row r="109" spans="1:8" ht="14.1" customHeight="1">
      <c r="A109" s="132"/>
      <c r="B109" s="145">
        <v>7731</v>
      </c>
      <c r="C109" s="150" t="s">
        <v>788</v>
      </c>
      <c r="D109" s="143"/>
      <c r="E109" s="143"/>
      <c r="F109" s="143"/>
      <c r="G109" s="143"/>
      <c r="H109" s="202">
        <v>10000</v>
      </c>
    </row>
    <row r="110" spans="1:8" ht="14.1" customHeight="1">
      <c r="A110" s="271" t="s">
        <v>1111</v>
      </c>
      <c r="B110" s="272"/>
      <c r="C110" s="284"/>
      <c r="D110" s="274"/>
      <c r="E110" s="274"/>
      <c r="F110" s="274"/>
      <c r="G110" s="274"/>
      <c r="H110" s="285"/>
    </row>
    <row r="111" spans="1:8" ht="14.1" customHeight="1">
      <c r="A111" s="276">
        <f>A107</f>
        <v>4011</v>
      </c>
      <c r="B111" s="277" t="str">
        <f>B107</f>
        <v>Fournisseurs</v>
      </c>
      <c r="C111" s="277"/>
      <c r="D111" s="277">
        <f>B109</f>
        <v>7731</v>
      </c>
      <c r="E111" s="277" t="str">
        <f>C109</f>
        <v xml:space="preserve">Escomptes obtenus </v>
      </c>
      <c r="F111" s="277"/>
      <c r="G111" s="277"/>
      <c r="H111" s="278">
        <f>G107</f>
        <v>11850</v>
      </c>
    </row>
    <row r="114" spans="1:8" ht="14.1" customHeight="1">
      <c r="A114" s="1168" t="s">
        <v>588</v>
      </c>
      <c r="B114" s="205"/>
      <c r="C114" s="205"/>
      <c r="D114" s="205"/>
      <c r="E114" s="205"/>
      <c r="F114" s="205"/>
      <c r="G114" s="205"/>
      <c r="H114" s="206"/>
    </row>
    <row r="115" spans="1:8" ht="14.1" customHeight="1">
      <c r="A115" s="270">
        <v>6276</v>
      </c>
      <c r="B115" s="151" t="s">
        <v>391</v>
      </c>
      <c r="C115" s="133"/>
      <c r="D115" s="133"/>
      <c r="E115" s="133"/>
      <c r="F115" s="133"/>
      <c r="G115" s="200">
        <v>1500</v>
      </c>
      <c r="H115" s="207"/>
    </row>
    <row r="116" spans="1:8" ht="14.1" customHeight="1">
      <c r="A116" s="203">
        <v>44522</v>
      </c>
      <c r="B116" s="151" t="s">
        <v>488</v>
      </c>
      <c r="C116" s="133"/>
      <c r="D116" s="133"/>
      <c r="E116" s="241">
        <v>0.185</v>
      </c>
      <c r="F116" s="133"/>
      <c r="G116" s="133">
        <f>G115*E116</f>
        <v>277.5</v>
      </c>
      <c r="H116" s="207"/>
    </row>
    <row r="117" spans="1:8" ht="14.1" customHeight="1">
      <c r="A117" s="208"/>
      <c r="B117" s="149">
        <v>4011</v>
      </c>
      <c r="C117" s="151" t="s">
        <v>276</v>
      </c>
      <c r="D117" s="133"/>
      <c r="E117" s="133"/>
      <c r="F117" s="133"/>
      <c r="G117" s="133"/>
      <c r="H117" s="207">
        <f>G115+G116</f>
        <v>1777.5</v>
      </c>
    </row>
    <row r="118" spans="1:8" ht="14.1" customHeight="1">
      <c r="A118" s="271" t="s">
        <v>1111</v>
      </c>
      <c r="B118" s="272"/>
      <c r="C118" s="284"/>
      <c r="D118" s="274"/>
      <c r="E118" s="274"/>
      <c r="F118" s="274"/>
      <c r="G118" s="274"/>
      <c r="H118" s="285"/>
    </row>
    <row r="119" spans="1:8" ht="14.1" customHeight="1">
      <c r="A119" s="271">
        <f>A115</f>
        <v>6276</v>
      </c>
      <c r="B119" s="274" t="str">
        <f>B115</f>
        <v>Cadeaux à la clientèle</v>
      </c>
      <c r="C119" s="274"/>
      <c r="D119" s="274">
        <f>B117</f>
        <v>4011</v>
      </c>
      <c r="E119" s="274" t="str">
        <f>C117</f>
        <v>Fournisseurs</v>
      </c>
      <c r="F119" s="274"/>
      <c r="G119" s="274"/>
      <c r="H119" s="275">
        <f>H117</f>
        <v>1777.5</v>
      </c>
    </row>
    <row r="120" spans="1:8" ht="14.1" customHeight="1">
      <c r="A120" s="556" t="s">
        <v>1479</v>
      </c>
      <c r="B120" s="558"/>
      <c r="C120" s="274"/>
      <c r="D120" s="274"/>
      <c r="E120" s="274"/>
      <c r="F120" s="274"/>
      <c r="G120" s="274"/>
      <c r="H120" s="275"/>
    </row>
    <row r="121" spans="1:8" ht="14.1" customHeight="1">
      <c r="A121" s="276">
        <f>B117</f>
        <v>4011</v>
      </c>
      <c r="B121" s="277" t="str">
        <f>C117</f>
        <v>Fournisseurs</v>
      </c>
      <c r="C121" s="277"/>
      <c r="D121" s="277">
        <v>520</v>
      </c>
      <c r="E121" s="277" t="s">
        <v>585</v>
      </c>
      <c r="F121" s="277"/>
      <c r="G121" s="277"/>
      <c r="H121" s="278">
        <f>H119</f>
        <v>1777.5</v>
      </c>
    </row>
    <row r="122" spans="1:8" ht="14.1" customHeight="1">
      <c r="A122" s="127"/>
      <c r="B122" s="127"/>
      <c r="C122" s="127"/>
      <c r="D122" s="127"/>
      <c r="E122" s="127"/>
      <c r="F122" s="127"/>
      <c r="G122" s="127"/>
      <c r="H122" s="127"/>
    </row>
    <row r="123" spans="1:8" ht="14.1" customHeight="1">
      <c r="A123" s="127"/>
      <c r="B123" s="127"/>
      <c r="C123" s="127"/>
      <c r="D123" s="127"/>
      <c r="E123" s="127"/>
      <c r="F123" s="127"/>
      <c r="G123" s="127"/>
      <c r="H123" s="127"/>
    </row>
    <row r="124" spans="1:8" ht="14.1" customHeight="1">
      <c r="A124" s="1168" t="s">
        <v>242</v>
      </c>
      <c r="B124" s="205"/>
      <c r="C124" s="205"/>
      <c r="D124" s="205"/>
      <c r="E124" s="205"/>
      <c r="F124" s="205"/>
      <c r="G124" s="205"/>
      <c r="H124" s="206"/>
    </row>
    <row r="125" spans="1:8" ht="14.1" customHeight="1">
      <c r="A125" s="270">
        <v>6276</v>
      </c>
      <c r="B125" s="151" t="s">
        <v>391</v>
      </c>
      <c r="C125" s="133"/>
      <c r="D125" s="133"/>
      <c r="E125" s="133"/>
      <c r="F125" s="133"/>
      <c r="G125" s="200">
        <v>3000</v>
      </c>
      <c r="H125" s="207"/>
    </row>
    <row r="126" spans="1:8" ht="14.1" customHeight="1">
      <c r="A126" s="208"/>
      <c r="B126" s="149">
        <v>4011</v>
      </c>
      <c r="C126" s="151" t="s">
        <v>276</v>
      </c>
      <c r="D126" s="133"/>
      <c r="E126" s="133"/>
      <c r="F126" s="133"/>
      <c r="G126" s="133"/>
      <c r="H126" s="207">
        <f>G125</f>
        <v>3000</v>
      </c>
    </row>
    <row r="127" spans="1:8" ht="14.1" customHeight="1">
      <c r="A127" s="271" t="s">
        <v>1111</v>
      </c>
      <c r="B127" s="272"/>
      <c r="C127" s="284"/>
      <c r="D127" s="274"/>
      <c r="E127" s="274"/>
      <c r="F127" s="274"/>
      <c r="G127" s="274"/>
      <c r="H127" s="285"/>
    </row>
    <row r="128" spans="1:8" ht="14.1" customHeight="1">
      <c r="A128" s="271">
        <f>A125</f>
        <v>6276</v>
      </c>
      <c r="B128" s="274" t="str">
        <f>B125</f>
        <v>Cadeaux à la clientèle</v>
      </c>
      <c r="C128" s="274"/>
      <c r="D128" s="274">
        <f>B126</f>
        <v>4011</v>
      </c>
      <c r="E128" s="274" t="str">
        <f>C126</f>
        <v>Fournisseurs</v>
      </c>
      <c r="F128" s="274"/>
      <c r="G128" s="274"/>
      <c r="H128" s="275">
        <f>H126</f>
        <v>3000</v>
      </c>
    </row>
    <row r="129" spans="1:8" ht="14.1" customHeight="1">
      <c r="A129" s="556" t="s">
        <v>1479</v>
      </c>
      <c r="B129" s="558"/>
      <c r="C129" s="274"/>
      <c r="D129" s="274"/>
      <c r="E129" s="274"/>
      <c r="F129" s="274"/>
      <c r="G129" s="274"/>
      <c r="H129" s="275"/>
    </row>
    <row r="130" spans="1:8" ht="14.1" customHeight="1">
      <c r="A130" s="276">
        <f>B126</f>
        <v>4011</v>
      </c>
      <c r="B130" s="277" t="str">
        <f>C126</f>
        <v>Fournisseurs</v>
      </c>
      <c r="C130" s="277"/>
      <c r="D130" s="277">
        <v>520</v>
      </c>
      <c r="E130" s="277" t="s">
        <v>585</v>
      </c>
      <c r="F130" s="277"/>
      <c r="G130" s="277"/>
      <c r="H130" s="278">
        <f>H128</f>
        <v>3000</v>
      </c>
    </row>
    <row r="131" spans="1:8" ht="14.1" customHeight="1">
      <c r="A131" s="127"/>
      <c r="B131" s="127"/>
      <c r="C131" s="127"/>
      <c r="D131" s="127"/>
      <c r="E131" s="127"/>
      <c r="F131" s="127"/>
      <c r="G131" s="127"/>
      <c r="H131" s="127"/>
    </row>
    <row r="132" spans="1:8" ht="14.1" customHeight="1">
      <c r="A132" s="127"/>
      <c r="B132" s="127"/>
      <c r="C132" s="127"/>
      <c r="D132" s="127"/>
      <c r="E132" s="127"/>
      <c r="F132" s="127"/>
      <c r="G132" s="127"/>
      <c r="H132" s="127"/>
    </row>
    <row r="133" spans="1:8" ht="14.1" customHeight="1">
      <c r="A133" s="1167" t="s">
        <v>589</v>
      </c>
      <c r="B133" s="137"/>
      <c r="C133" s="137"/>
      <c r="D133" s="137"/>
      <c r="E133" s="137"/>
      <c r="F133" s="137"/>
      <c r="G133" s="137"/>
      <c r="H133" s="153"/>
    </row>
    <row r="134" spans="1:8" ht="14.1" customHeight="1">
      <c r="A134" s="131">
        <v>245</v>
      </c>
      <c r="B134" s="148" t="s">
        <v>160</v>
      </c>
      <c r="C134" s="133"/>
      <c r="D134" s="133"/>
      <c r="E134" s="133"/>
      <c r="F134" s="133"/>
      <c r="G134" s="238">
        <v>3000000</v>
      </c>
      <c r="H134" s="154"/>
    </row>
    <row r="135" spans="1:8" ht="14.1" customHeight="1">
      <c r="A135" s="135">
        <v>6350</v>
      </c>
      <c r="B135" s="151" t="s">
        <v>402</v>
      </c>
      <c r="C135" s="133"/>
      <c r="D135" s="133"/>
      <c r="E135" s="133"/>
      <c r="F135" s="133"/>
      <c r="G135" s="238">
        <v>3500</v>
      </c>
      <c r="H135" s="154"/>
    </row>
    <row r="136" spans="1:8" ht="14.1" customHeight="1">
      <c r="A136" s="132"/>
      <c r="B136" s="198">
        <v>4011</v>
      </c>
      <c r="C136" s="199" t="s">
        <v>276</v>
      </c>
      <c r="D136" s="143"/>
      <c r="E136" s="143"/>
      <c r="F136" s="143"/>
      <c r="G136" s="143"/>
      <c r="H136" s="155">
        <f>G134+G135</f>
        <v>3003500</v>
      </c>
    </row>
    <row r="137" spans="1:8" ht="14.1" customHeight="1">
      <c r="A137" s="271" t="s">
        <v>1111</v>
      </c>
      <c r="B137" s="272"/>
      <c r="C137" s="284"/>
      <c r="D137" s="274"/>
      <c r="E137" s="274"/>
      <c r="F137" s="274"/>
      <c r="G137" s="274"/>
      <c r="H137" s="285"/>
    </row>
    <row r="138" spans="1:8" ht="14.1" customHeight="1">
      <c r="A138" s="271">
        <f>A134</f>
        <v>245</v>
      </c>
      <c r="B138" s="271" t="str">
        <f>B134</f>
        <v>Matériel de transport</v>
      </c>
      <c r="C138" s="274"/>
      <c r="D138" s="274">
        <f>B136</f>
        <v>4011</v>
      </c>
      <c r="E138" s="274" t="str">
        <f>C136</f>
        <v>Fournisseurs</v>
      </c>
      <c r="F138" s="274"/>
      <c r="G138" s="274"/>
      <c r="H138" s="275">
        <f>G134</f>
        <v>3000000</v>
      </c>
    </row>
    <row r="139" spans="1:8" ht="14.1" customHeight="1">
      <c r="A139" s="271">
        <f>A135</f>
        <v>6350</v>
      </c>
      <c r="B139" s="271" t="str">
        <f>B135</f>
        <v>Autres impôts, droit et autres enregistrements</v>
      </c>
      <c r="C139" s="274"/>
      <c r="D139" s="274">
        <f>B136</f>
        <v>4011</v>
      </c>
      <c r="E139" s="274" t="str">
        <f>C136</f>
        <v>Fournisseurs</v>
      </c>
      <c r="F139" s="274"/>
      <c r="G139" s="274"/>
      <c r="H139" s="275">
        <f>G135</f>
        <v>3500</v>
      </c>
    </row>
    <row r="140" spans="1:8" ht="14.1" customHeight="1">
      <c r="A140" s="556" t="s">
        <v>1479</v>
      </c>
      <c r="B140" s="558"/>
      <c r="C140" s="274"/>
      <c r="D140" s="274"/>
      <c r="E140" s="274"/>
      <c r="F140" s="274"/>
      <c r="G140" s="274"/>
      <c r="H140" s="275"/>
    </row>
    <row r="141" spans="1:8" ht="14.1" customHeight="1">
      <c r="A141" s="276">
        <f>B136</f>
        <v>4011</v>
      </c>
      <c r="B141" s="277" t="str">
        <f>C136</f>
        <v>Fournisseurs</v>
      </c>
      <c r="C141" s="277"/>
      <c r="D141" s="277">
        <v>520</v>
      </c>
      <c r="E141" s="277" t="s">
        <v>585</v>
      </c>
      <c r="F141" s="277"/>
      <c r="G141" s="277"/>
      <c r="H141" s="278">
        <f>H136</f>
        <v>3003500</v>
      </c>
    </row>
    <row r="142" spans="1:8" ht="14.1" customHeight="1">
      <c r="A142" s="127"/>
      <c r="B142" s="127"/>
      <c r="C142" s="127"/>
      <c r="D142" s="127"/>
      <c r="E142" s="127"/>
      <c r="F142" s="127"/>
      <c r="G142" s="127"/>
      <c r="H142" s="127"/>
    </row>
    <row r="143" spans="1:8" ht="14.1" customHeight="1">
      <c r="A143" s="1171" t="s">
        <v>590</v>
      </c>
      <c r="B143" s="209"/>
      <c r="C143" s="209"/>
      <c r="D143" s="137"/>
      <c r="E143" s="137"/>
      <c r="F143" s="137"/>
      <c r="G143" s="137"/>
      <c r="H143" s="153"/>
    </row>
    <row r="144" spans="1:8" ht="14.1" customHeight="1">
      <c r="A144" s="131">
        <v>245</v>
      </c>
      <c r="B144" s="148" t="s">
        <v>160</v>
      </c>
      <c r="C144" s="141"/>
      <c r="D144" s="133"/>
      <c r="E144" s="133"/>
      <c r="F144" s="133"/>
      <c r="G144" s="238">
        <v>5000000</v>
      </c>
      <c r="H144" s="154"/>
    </row>
    <row r="145" spans="1:8" ht="14.1" customHeight="1">
      <c r="A145" s="210">
        <v>6350</v>
      </c>
      <c r="B145" s="211" t="s">
        <v>402</v>
      </c>
      <c r="C145" s="141"/>
      <c r="D145" s="133"/>
      <c r="E145" s="133"/>
      <c r="F145" s="133"/>
      <c r="G145" s="238">
        <v>5000</v>
      </c>
      <c r="H145" s="154"/>
    </row>
    <row r="146" spans="1:8" ht="14.1" customHeight="1">
      <c r="A146" s="203">
        <v>44522</v>
      </c>
      <c r="B146" s="151" t="s">
        <v>488</v>
      </c>
      <c r="C146" s="141"/>
      <c r="D146" s="133"/>
      <c r="E146" s="241">
        <v>0.185</v>
      </c>
      <c r="F146" s="133"/>
      <c r="G146" s="133">
        <f>SUM(G144:G145)*E146</f>
        <v>925925</v>
      </c>
      <c r="H146" s="154"/>
    </row>
    <row r="147" spans="1:8" ht="14.1" customHeight="1">
      <c r="A147" s="212"/>
      <c r="B147" s="213">
        <v>4011</v>
      </c>
      <c r="C147" s="214" t="s">
        <v>276</v>
      </c>
      <c r="D147" s="143"/>
      <c r="E147" s="143"/>
      <c r="F147" s="143"/>
      <c r="G147" s="143"/>
      <c r="H147" s="155">
        <f>SUM(G144:G146)</f>
        <v>5930925</v>
      </c>
    </row>
    <row r="148" spans="1:8" ht="14.1" customHeight="1">
      <c r="A148" s="215"/>
      <c r="B148" s="215"/>
      <c r="C148" s="215"/>
      <c r="D148" s="127"/>
      <c r="E148" s="127"/>
      <c r="F148" s="127"/>
      <c r="G148" s="127"/>
      <c r="H148" s="127"/>
    </row>
    <row r="149" spans="1:8" ht="14.1" customHeight="1">
      <c r="A149" s="1172" t="s">
        <v>591</v>
      </c>
      <c r="B149" s="287"/>
      <c r="C149" s="287"/>
      <c r="D149" s="205"/>
      <c r="E149" s="205"/>
      <c r="F149" s="205"/>
      <c r="G149" s="205"/>
      <c r="H149" s="206"/>
    </row>
    <row r="150" spans="1:8" ht="14.1" customHeight="1">
      <c r="A150" s="288" t="s">
        <v>592</v>
      </c>
      <c r="B150" s="138" t="s">
        <v>593</v>
      </c>
      <c r="C150" s="141"/>
      <c r="D150" s="133"/>
      <c r="E150" s="133"/>
      <c r="F150" s="133"/>
      <c r="G150" s="200">
        <v>10000</v>
      </c>
      <c r="H150" s="207"/>
    </row>
    <row r="151" spans="1:8" ht="14.1" customHeight="1">
      <c r="A151" s="203">
        <v>44522</v>
      </c>
      <c r="B151" s="151" t="s">
        <v>488</v>
      </c>
      <c r="C151" s="141"/>
      <c r="D151" s="133"/>
      <c r="E151" s="241">
        <v>0.185</v>
      </c>
      <c r="F151" s="133"/>
      <c r="G151" s="133">
        <f>G150*E151</f>
        <v>1850</v>
      </c>
      <c r="H151" s="207"/>
    </row>
    <row r="152" spans="1:8" ht="14.1" customHeight="1">
      <c r="A152" s="289"/>
      <c r="B152" s="286">
        <v>4011</v>
      </c>
      <c r="C152" s="240" t="s">
        <v>276</v>
      </c>
      <c r="D152" s="133"/>
      <c r="E152" s="133"/>
      <c r="F152" s="133"/>
      <c r="G152" s="133"/>
      <c r="H152" s="207">
        <f>SUM(G150:G151)</f>
        <v>11850</v>
      </c>
    </row>
    <row r="153" spans="1:8" ht="14.1" customHeight="1">
      <c r="A153" s="271" t="s">
        <v>1111</v>
      </c>
      <c r="B153" s="272"/>
      <c r="C153" s="273"/>
      <c r="D153" s="274"/>
      <c r="E153" s="274"/>
      <c r="F153" s="274"/>
      <c r="G153" s="274"/>
      <c r="H153" s="275"/>
    </row>
    <row r="154" spans="1:8" ht="14.1" customHeight="1">
      <c r="A154" s="271" t="str">
        <f>A150</f>
        <v>611</v>
      </c>
      <c r="B154" s="274" t="str">
        <f>B150</f>
        <v>Frais de transport sur achats</v>
      </c>
      <c r="C154" s="274"/>
      <c r="D154" s="274">
        <f>B152</f>
        <v>4011</v>
      </c>
      <c r="E154" s="274" t="str">
        <f t="shared" ref="E154:F154" si="3">C152</f>
        <v>Fournisseurs</v>
      </c>
      <c r="F154" s="274">
        <f t="shared" si="3"/>
        <v>0</v>
      </c>
      <c r="G154" s="274"/>
      <c r="H154" s="275">
        <f>H152</f>
        <v>11850</v>
      </c>
    </row>
    <row r="155" spans="1:8" ht="14.1" customHeight="1">
      <c r="A155" s="556" t="s">
        <v>1479</v>
      </c>
      <c r="B155" s="558"/>
      <c r="C155" s="274"/>
      <c r="D155" s="274"/>
      <c r="E155" s="274"/>
      <c r="F155" s="274"/>
      <c r="G155" s="274"/>
      <c r="H155" s="275"/>
    </row>
    <row r="156" spans="1:8" ht="14.1" customHeight="1">
      <c r="A156" s="276">
        <f>D154</f>
        <v>4011</v>
      </c>
      <c r="B156" s="277" t="str">
        <f>E154</f>
        <v>Fournisseurs</v>
      </c>
      <c r="C156" s="277"/>
      <c r="D156" s="277">
        <v>520</v>
      </c>
      <c r="E156" s="277" t="s">
        <v>585</v>
      </c>
      <c r="F156" s="277"/>
      <c r="G156" s="277"/>
      <c r="H156" s="278">
        <f>H154</f>
        <v>11850</v>
      </c>
    </row>
    <row r="157" spans="1:8" ht="14.1" customHeight="1">
      <c r="A157" s="156"/>
      <c r="B157" s="156"/>
      <c r="C157" s="156"/>
    </row>
    <row r="158" spans="1:8" ht="14.1" customHeight="1">
      <c r="A158" s="226"/>
      <c r="B158" s="227"/>
      <c r="C158" s="228"/>
      <c r="D158" s="228"/>
      <c r="E158" s="228"/>
      <c r="F158" s="228"/>
      <c r="G158" s="228"/>
      <c r="H158" s="229"/>
    </row>
    <row r="159" spans="1:8" ht="14.1" customHeight="1">
      <c r="A159" s="1173" t="s">
        <v>594</v>
      </c>
      <c r="B159" s="197"/>
      <c r="C159" s="197"/>
      <c r="D159" s="197"/>
      <c r="E159" s="197"/>
      <c r="F159" s="197"/>
      <c r="G159" s="220"/>
      <c r="H159" s="231"/>
    </row>
    <row r="160" spans="1:8" ht="14.1" customHeight="1">
      <c r="A160" s="204">
        <v>6011</v>
      </c>
      <c r="B160" s="140" t="s">
        <v>806</v>
      </c>
      <c r="C160" s="197"/>
      <c r="D160" s="197"/>
      <c r="E160" s="197"/>
      <c r="F160" s="197"/>
      <c r="G160" s="239">
        <v>50000</v>
      </c>
      <c r="H160" s="232"/>
    </row>
    <row r="161" spans="1:8" ht="14.1" customHeight="1">
      <c r="A161" s="203">
        <v>44522</v>
      </c>
      <c r="B161" s="151" t="s">
        <v>488</v>
      </c>
      <c r="C161" s="197"/>
      <c r="D161" s="197"/>
      <c r="E161" s="241">
        <v>0.185</v>
      </c>
      <c r="F161" s="197"/>
      <c r="G161" s="197">
        <f>G160*E161</f>
        <v>9250</v>
      </c>
      <c r="H161" s="232"/>
    </row>
    <row r="162" spans="1:8" ht="14.1" customHeight="1">
      <c r="A162" s="233"/>
      <c r="B162" s="234">
        <v>4011</v>
      </c>
      <c r="C162" s="235" t="s">
        <v>276</v>
      </c>
      <c r="D162" s="236"/>
      <c r="E162" s="236"/>
      <c r="F162" s="236"/>
      <c r="G162" s="236"/>
      <c r="H162" s="237">
        <f>SUM(G160:G161)</f>
        <v>59250</v>
      </c>
    </row>
    <row r="163" spans="1:8" ht="14.1" customHeight="1">
      <c r="A163" s="271" t="s">
        <v>1111</v>
      </c>
      <c r="B163" s="272"/>
      <c r="C163" s="273"/>
      <c r="D163" s="274"/>
      <c r="E163" s="274"/>
      <c r="F163" s="274"/>
      <c r="G163" s="274"/>
      <c r="H163" s="275"/>
    </row>
    <row r="164" spans="1:8" ht="14.1" customHeight="1">
      <c r="A164" s="271">
        <f>A160</f>
        <v>6011</v>
      </c>
      <c r="B164" s="274" t="str">
        <f>B160</f>
        <v xml:space="preserve">MP, fournitures &amp; Emb. </v>
      </c>
      <c r="C164" s="274"/>
      <c r="D164" s="274">
        <f>B162</f>
        <v>4011</v>
      </c>
      <c r="E164" s="274" t="str">
        <f t="shared" ref="E164" si="4">C162</f>
        <v>Fournisseurs</v>
      </c>
      <c r="F164" s="274"/>
      <c r="G164" s="274"/>
      <c r="H164" s="275">
        <f>H162</f>
        <v>59250</v>
      </c>
    </row>
    <row r="165" spans="1:8" ht="14.1" customHeight="1">
      <c r="A165" s="556" t="s">
        <v>1479</v>
      </c>
      <c r="B165" s="558"/>
      <c r="C165" s="274"/>
      <c r="D165" s="274"/>
      <c r="E165" s="274"/>
      <c r="F165" s="274"/>
      <c r="G165" s="274"/>
      <c r="H165" s="275"/>
    </row>
    <row r="166" spans="1:8" ht="14.1" customHeight="1">
      <c r="A166" s="276">
        <f>D164</f>
        <v>4011</v>
      </c>
      <c r="B166" s="277" t="str">
        <f>E164</f>
        <v>Fournisseurs</v>
      </c>
      <c r="C166" s="277"/>
      <c r="D166" s="277">
        <v>520</v>
      </c>
      <c r="E166" s="277" t="s">
        <v>585</v>
      </c>
      <c r="F166" s="277"/>
      <c r="G166" s="277"/>
      <c r="H166" s="278">
        <f>H164</f>
        <v>59250</v>
      </c>
    </row>
    <row r="167" spans="1:8" ht="14.1" customHeight="1">
      <c r="A167" s="156"/>
      <c r="B167" s="156"/>
      <c r="C167" s="156"/>
      <c r="D167" s="156"/>
      <c r="E167" s="156"/>
      <c r="F167" s="156"/>
      <c r="G167" s="156"/>
      <c r="H167" s="156"/>
    </row>
    <row r="168" spans="1:8" ht="14.1" customHeight="1">
      <c r="A168" s="216"/>
      <c r="B168" s="217"/>
      <c r="C168" s="218"/>
      <c r="D168" s="217"/>
      <c r="E168" s="217"/>
      <c r="F168" s="217"/>
      <c r="G168" s="217"/>
      <c r="H168" s="225"/>
    </row>
    <row r="169" spans="1:8" ht="14.1" customHeight="1">
      <c r="A169" s="1174" t="s">
        <v>598</v>
      </c>
      <c r="B169" s="197"/>
      <c r="C169" s="197"/>
      <c r="D169" s="197"/>
      <c r="E169" s="197"/>
      <c r="F169" s="197"/>
      <c r="G169" s="220"/>
      <c r="H169" s="221"/>
    </row>
    <row r="170" spans="1:8" ht="14.1" customHeight="1">
      <c r="A170" s="129">
        <v>6011</v>
      </c>
      <c r="B170" s="140" t="s">
        <v>806</v>
      </c>
      <c r="C170" s="156"/>
      <c r="D170" s="197"/>
      <c r="E170" s="197"/>
      <c r="F170" s="197"/>
      <c r="G170" s="239">
        <v>350000</v>
      </c>
      <c r="H170" s="222"/>
    </row>
    <row r="171" spans="1:8" ht="14.1" customHeight="1">
      <c r="A171" s="203">
        <v>44522</v>
      </c>
      <c r="B171" s="151" t="s">
        <v>488</v>
      </c>
      <c r="C171" s="156"/>
      <c r="D171" s="197"/>
      <c r="E171" s="241">
        <v>0.185</v>
      </c>
      <c r="F171" s="197"/>
      <c r="G171" s="197">
        <f>G170*E171</f>
        <v>64750</v>
      </c>
      <c r="H171" s="222"/>
    </row>
    <row r="172" spans="1:8" ht="14.1" customHeight="1">
      <c r="A172" s="219"/>
      <c r="B172" s="213">
        <v>4011</v>
      </c>
      <c r="C172" s="214" t="s">
        <v>276</v>
      </c>
      <c r="D172" s="223"/>
      <c r="E172" s="223"/>
      <c r="F172" s="223"/>
      <c r="G172" s="223"/>
      <c r="H172" s="224">
        <f>SUM(G170:G171)</f>
        <v>414750</v>
      </c>
    </row>
    <row r="173" spans="1:8" ht="18" customHeight="1">
      <c r="A173" s="271" t="s">
        <v>1111</v>
      </c>
      <c r="B173" s="272"/>
      <c r="C173" s="273"/>
      <c r="D173" s="274"/>
      <c r="E173" s="274"/>
      <c r="F173" s="274"/>
      <c r="G173" s="274"/>
      <c r="H173" s="275"/>
    </row>
    <row r="174" spans="1:8" ht="18" customHeight="1">
      <c r="A174" s="271">
        <f>A170</f>
        <v>6011</v>
      </c>
      <c r="B174" s="274" t="str">
        <f>B170</f>
        <v xml:space="preserve">MP, fournitures &amp; Emb. </v>
      </c>
      <c r="C174" s="274"/>
      <c r="D174" s="274">
        <f>B172</f>
        <v>4011</v>
      </c>
      <c r="E174" s="274" t="str">
        <f t="shared" ref="E174" si="5">C172</f>
        <v>Fournisseurs</v>
      </c>
      <c r="F174" s="274"/>
      <c r="G174" s="274"/>
      <c r="H174" s="275">
        <f>H172</f>
        <v>414750</v>
      </c>
    </row>
    <row r="175" spans="1:8" ht="18" customHeight="1">
      <c r="A175" s="556" t="s">
        <v>1479</v>
      </c>
      <c r="B175" s="558"/>
      <c r="C175" s="274"/>
      <c r="D175" s="274"/>
      <c r="E175" s="274"/>
      <c r="F175" s="274"/>
      <c r="G175" s="274"/>
      <c r="H175" s="275"/>
    </row>
    <row r="176" spans="1:8" ht="18" customHeight="1">
      <c r="A176" s="276">
        <f>D174</f>
        <v>4011</v>
      </c>
      <c r="B176" s="277" t="str">
        <f>E174</f>
        <v>Fournisseurs</v>
      </c>
      <c r="C176" s="277"/>
      <c r="D176" s="277">
        <v>520</v>
      </c>
      <c r="E176" s="277" t="s">
        <v>585</v>
      </c>
      <c r="F176" s="277"/>
      <c r="G176" s="277"/>
      <c r="H176" s="278">
        <f>H174</f>
        <v>414750</v>
      </c>
    </row>
    <row r="177" spans="1:8" ht="18" customHeight="1">
      <c r="A177" s="156"/>
      <c r="B177" s="156"/>
      <c r="C177" s="156"/>
      <c r="D177" s="156"/>
      <c r="E177" s="156"/>
      <c r="F177" s="156"/>
      <c r="G177" s="156"/>
      <c r="H177" s="156"/>
    </row>
    <row r="178" spans="1:8" ht="14.1" customHeight="1">
      <c r="A178" s="216"/>
      <c r="B178" s="217"/>
      <c r="C178" s="218"/>
      <c r="D178" s="217"/>
      <c r="E178" s="217"/>
      <c r="F178" s="217"/>
      <c r="G178" s="217"/>
      <c r="H178" s="225"/>
    </row>
    <row r="179" spans="1:8" ht="14.1" customHeight="1">
      <c r="A179" s="1174" t="s">
        <v>599</v>
      </c>
      <c r="B179" s="197"/>
      <c r="C179" s="197"/>
      <c r="D179" s="197"/>
      <c r="E179" s="197"/>
      <c r="F179" s="197"/>
      <c r="G179" s="220"/>
      <c r="H179" s="221"/>
    </row>
    <row r="180" spans="1:8" ht="14.1" customHeight="1">
      <c r="A180" s="129">
        <v>6011</v>
      </c>
      <c r="B180" s="140" t="s">
        <v>806</v>
      </c>
      <c r="C180" s="156"/>
      <c r="D180" s="197"/>
      <c r="E180" s="197"/>
      <c r="F180" s="197"/>
      <c r="G180" s="239">
        <v>40000</v>
      </c>
      <c r="H180" s="222"/>
    </row>
    <row r="181" spans="1:8" ht="14.1" customHeight="1">
      <c r="A181" s="203">
        <v>44522</v>
      </c>
      <c r="B181" s="151" t="s">
        <v>488</v>
      </c>
      <c r="C181" s="156"/>
      <c r="D181" s="197"/>
      <c r="E181" s="241">
        <v>0.185</v>
      </c>
      <c r="F181" s="197"/>
      <c r="G181" s="197">
        <f>G180*E181</f>
        <v>7400</v>
      </c>
      <c r="H181" s="222"/>
    </row>
    <row r="182" spans="1:8" ht="14.1" customHeight="1">
      <c r="A182" s="219"/>
      <c r="B182" s="213">
        <v>4011</v>
      </c>
      <c r="C182" s="214" t="s">
        <v>276</v>
      </c>
      <c r="D182" s="223"/>
      <c r="E182" s="223"/>
      <c r="F182" s="223"/>
      <c r="G182" s="223"/>
      <c r="H182" s="224">
        <f>SUM(G180:G181)</f>
        <v>47400</v>
      </c>
    </row>
    <row r="183" spans="1:8" ht="14.1" customHeight="1">
      <c r="A183" s="271" t="s">
        <v>1111</v>
      </c>
      <c r="B183" s="272"/>
      <c r="C183" s="273"/>
      <c r="D183" s="274"/>
      <c r="E183" s="274"/>
      <c r="F183" s="274"/>
      <c r="G183" s="274"/>
      <c r="H183" s="275"/>
    </row>
    <row r="184" spans="1:8" ht="14.1" customHeight="1">
      <c r="A184" s="271">
        <f>A180</f>
        <v>6011</v>
      </c>
      <c r="B184" s="274" t="str">
        <f>B180</f>
        <v xml:space="preserve">MP, fournitures &amp; Emb. </v>
      </c>
      <c r="C184" s="274"/>
      <c r="D184" s="274">
        <f>B182</f>
        <v>4011</v>
      </c>
      <c r="E184" s="274" t="str">
        <f t="shared" ref="E184" si="6">C182</f>
        <v>Fournisseurs</v>
      </c>
      <c r="F184" s="274"/>
      <c r="G184" s="274"/>
      <c r="H184" s="275">
        <f>H182</f>
        <v>47400</v>
      </c>
    </row>
    <row r="185" spans="1:8" ht="14.1" customHeight="1">
      <c r="A185" s="556" t="s">
        <v>1479</v>
      </c>
      <c r="B185" s="558"/>
      <c r="C185" s="274"/>
      <c r="D185" s="274"/>
      <c r="E185" s="274"/>
      <c r="F185" s="274"/>
      <c r="G185" s="274"/>
      <c r="H185" s="275"/>
    </row>
    <row r="186" spans="1:8" ht="14.1" customHeight="1">
      <c r="A186" s="276">
        <f>D184</f>
        <v>4011</v>
      </c>
      <c r="B186" s="277" t="str">
        <f>E184</f>
        <v>Fournisseurs</v>
      </c>
      <c r="C186" s="277"/>
      <c r="D186" s="277">
        <v>520</v>
      </c>
      <c r="E186" s="277" t="s">
        <v>585</v>
      </c>
      <c r="F186" s="277"/>
      <c r="G186" s="277"/>
      <c r="H186" s="278">
        <f>H184</f>
        <v>47400</v>
      </c>
    </row>
    <row r="187" spans="1:8" ht="14.1" customHeight="1">
      <c r="A187" s="156"/>
      <c r="B187" s="156"/>
      <c r="C187" s="156"/>
      <c r="D187" s="156"/>
      <c r="E187" s="156"/>
      <c r="F187" s="156"/>
      <c r="G187" s="156"/>
      <c r="H187" s="156"/>
    </row>
    <row r="188" spans="1:8" ht="14.1" customHeight="1">
      <c r="A188" s="226"/>
      <c r="B188" s="227"/>
      <c r="C188" s="228"/>
      <c r="D188" s="227"/>
      <c r="E188" s="227"/>
      <c r="F188" s="227"/>
      <c r="G188" s="227"/>
      <c r="H188" s="292"/>
    </row>
    <row r="189" spans="1:8" ht="14.1" customHeight="1">
      <c r="A189" s="1173" t="s">
        <v>600</v>
      </c>
      <c r="B189" s="197"/>
      <c r="C189" s="197"/>
      <c r="D189" s="197"/>
      <c r="E189" s="197"/>
      <c r="F189" s="197"/>
      <c r="G189" s="220"/>
      <c r="H189" s="231"/>
    </row>
    <row r="190" spans="1:8" ht="14.1" customHeight="1">
      <c r="A190" s="204">
        <v>6011</v>
      </c>
      <c r="B190" s="140" t="s">
        <v>806</v>
      </c>
      <c r="C190" s="197"/>
      <c r="D190" s="197"/>
      <c r="E190" s="197"/>
      <c r="F190" s="197"/>
      <c r="G190" s="291">
        <v>1200000</v>
      </c>
      <c r="H190" s="232"/>
    </row>
    <row r="191" spans="1:8" ht="14.1" customHeight="1">
      <c r="A191" s="293">
        <v>4094</v>
      </c>
      <c r="B191" s="240" t="s">
        <v>283</v>
      </c>
      <c r="C191" s="197"/>
      <c r="D191" s="197"/>
      <c r="E191" s="197"/>
      <c r="F191" s="197"/>
      <c r="G191" s="197">
        <v>10000</v>
      </c>
      <c r="H191" s="232"/>
    </row>
    <row r="192" spans="1:8" ht="14.1" customHeight="1">
      <c r="A192" s="203">
        <v>44522</v>
      </c>
      <c r="B192" s="151" t="s">
        <v>488</v>
      </c>
      <c r="C192" s="197"/>
      <c r="D192" s="197"/>
      <c r="E192" s="241">
        <v>0.185</v>
      </c>
      <c r="F192" s="197"/>
      <c r="G192" s="197">
        <f>G190*E192</f>
        <v>222000</v>
      </c>
      <c r="H192" s="232"/>
    </row>
    <row r="193" spans="1:8" ht="14.1" customHeight="1">
      <c r="A193" s="230"/>
      <c r="B193" s="286">
        <v>4011</v>
      </c>
      <c r="C193" s="240" t="s">
        <v>276</v>
      </c>
      <c r="D193" s="197"/>
      <c r="E193" s="197"/>
      <c r="F193" s="197"/>
      <c r="G193" s="197"/>
      <c r="H193" s="232">
        <f>SUM(G190:G192)</f>
        <v>1432000</v>
      </c>
    </row>
    <row r="194" spans="1:8" ht="14.1" customHeight="1">
      <c r="A194" s="271" t="s">
        <v>1111</v>
      </c>
      <c r="B194" s="272"/>
      <c r="C194" s="273"/>
      <c r="D194" s="274"/>
      <c r="E194" s="274"/>
      <c r="F194" s="274"/>
      <c r="G194" s="274"/>
      <c r="H194" s="275"/>
    </row>
    <row r="195" spans="1:8" ht="14.1" customHeight="1">
      <c r="A195" s="271">
        <f>A190</f>
        <v>6011</v>
      </c>
      <c r="B195" s="274" t="str">
        <f>B190</f>
        <v xml:space="preserve">MP, fournitures &amp; Emb. </v>
      </c>
      <c r="C195" s="274"/>
      <c r="D195" s="274">
        <f>B193</f>
        <v>4011</v>
      </c>
      <c r="E195" s="274" t="str">
        <f t="shared" ref="E195" si="7">C193</f>
        <v>Fournisseurs</v>
      </c>
      <c r="F195" s="274"/>
      <c r="G195" s="274"/>
      <c r="H195" s="275">
        <f>G190*(1+E192)</f>
        <v>1422000</v>
      </c>
    </row>
    <row r="196" spans="1:8" ht="14.1" customHeight="1">
      <c r="A196" s="271">
        <f>A191</f>
        <v>4094</v>
      </c>
      <c r="B196" s="274" t="str">
        <f>B191</f>
        <v>Fournisseurs créances pour emballages et matériels à rendre</v>
      </c>
      <c r="C196" s="274"/>
      <c r="D196" s="274">
        <f>D195</f>
        <v>4011</v>
      </c>
      <c r="E196" s="274" t="str">
        <f>E195</f>
        <v>Fournisseurs</v>
      </c>
      <c r="F196" s="274"/>
      <c r="G196" s="274"/>
      <c r="H196" s="275">
        <f>G191</f>
        <v>10000</v>
      </c>
    </row>
    <row r="197" spans="1:8" ht="14.1" customHeight="1">
      <c r="A197" s="556" t="s">
        <v>1479</v>
      </c>
      <c r="B197" s="558"/>
      <c r="C197" s="274"/>
      <c r="D197" s="274"/>
      <c r="E197" s="274"/>
      <c r="F197" s="274"/>
      <c r="G197" s="274"/>
      <c r="H197" s="275"/>
    </row>
    <row r="198" spans="1:8" ht="14.1" customHeight="1">
      <c r="A198" s="271">
        <f>D195</f>
        <v>4011</v>
      </c>
      <c r="B198" s="274" t="str">
        <f>E195</f>
        <v>Fournisseurs</v>
      </c>
      <c r="C198" s="274"/>
      <c r="D198" s="274">
        <v>520</v>
      </c>
      <c r="E198" s="274" t="s">
        <v>585</v>
      </c>
      <c r="F198" s="274"/>
      <c r="G198" s="274"/>
      <c r="H198" s="275">
        <f>H193</f>
        <v>1432000</v>
      </c>
    </row>
    <row r="199" spans="1:8" ht="14.1" customHeight="1">
      <c r="A199" s="230"/>
      <c r="B199" s="197"/>
      <c r="C199" s="197"/>
      <c r="D199" s="197"/>
      <c r="E199" s="197"/>
      <c r="F199" s="197"/>
      <c r="G199" s="197"/>
      <c r="H199" s="232"/>
    </row>
    <row r="200" spans="1:8" ht="14.1" customHeight="1">
      <c r="A200" s="230"/>
      <c r="B200" s="197"/>
      <c r="C200" s="290"/>
      <c r="D200" s="197"/>
      <c r="E200" s="197"/>
      <c r="F200" s="197"/>
      <c r="G200" s="197"/>
      <c r="H200" s="232"/>
    </row>
    <row r="201" spans="1:8" ht="14.1" customHeight="1">
      <c r="A201" s="1173" t="s">
        <v>601</v>
      </c>
      <c r="B201" s="197"/>
      <c r="C201" s="197"/>
      <c r="D201" s="197"/>
      <c r="E201" s="197"/>
      <c r="F201" s="197"/>
      <c r="G201" s="220"/>
      <c r="H201" s="231"/>
    </row>
    <row r="202" spans="1:8" ht="14.1" customHeight="1">
      <c r="A202" s="293">
        <v>4011</v>
      </c>
      <c r="B202" s="240" t="s">
        <v>276</v>
      </c>
      <c r="C202" s="197"/>
      <c r="D202" s="197"/>
      <c r="E202" s="197"/>
      <c r="F202" s="197"/>
      <c r="G202" s="197">
        <f>G191</f>
        <v>10000</v>
      </c>
      <c r="H202" s="232"/>
    </row>
    <row r="203" spans="1:8" ht="14.1" customHeight="1">
      <c r="A203" s="230"/>
      <c r="B203" s="286">
        <v>4094</v>
      </c>
      <c r="C203" s="240" t="s">
        <v>283</v>
      </c>
      <c r="D203" s="197"/>
      <c r="E203" s="197"/>
      <c r="F203" s="197"/>
      <c r="G203" s="197"/>
      <c r="H203" s="232">
        <f>G202</f>
        <v>10000</v>
      </c>
    </row>
    <row r="204" spans="1:8" ht="14.1" customHeight="1">
      <c r="A204" s="271" t="s">
        <v>1111</v>
      </c>
      <c r="B204" s="272"/>
      <c r="C204" s="273"/>
      <c r="D204" s="274"/>
      <c r="E204" s="274"/>
      <c r="F204" s="274"/>
      <c r="G204" s="274"/>
      <c r="H204" s="275"/>
    </row>
    <row r="205" spans="1:8" ht="14.1" customHeight="1">
      <c r="A205" s="271">
        <f>A202</f>
        <v>4011</v>
      </c>
      <c r="B205" s="274" t="str">
        <f>B202</f>
        <v>Fournisseurs</v>
      </c>
      <c r="C205" s="274"/>
      <c r="D205" s="274">
        <f>B203</f>
        <v>4094</v>
      </c>
      <c r="E205" s="274" t="str">
        <f t="shared" ref="E205" si="8">C203</f>
        <v>Fournisseurs créances pour emballages et matériels à rendre</v>
      </c>
      <c r="F205" s="274"/>
      <c r="G205" s="274"/>
      <c r="H205" s="275">
        <f>G202</f>
        <v>10000</v>
      </c>
    </row>
    <row r="206" spans="1:8" ht="14.1" customHeight="1">
      <c r="A206" s="230"/>
      <c r="B206" s="197"/>
      <c r="C206" s="290"/>
      <c r="D206" s="197"/>
      <c r="E206" s="197"/>
      <c r="F206" s="197"/>
      <c r="G206" s="197"/>
      <c r="H206" s="232"/>
    </row>
    <row r="207" spans="1:8" ht="14.1" customHeight="1">
      <c r="A207" s="1173" t="s">
        <v>602</v>
      </c>
      <c r="B207" s="197"/>
      <c r="C207" s="197"/>
      <c r="D207" s="197"/>
      <c r="E207" s="197"/>
      <c r="F207" s="197"/>
      <c r="G207" s="220"/>
      <c r="H207" s="231"/>
    </row>
    <row r="208" spans="1:8" ht="14.1" customHeight="1">
      <c r="A208" s="293">
        <v>4011</v>
      </c>
      <c r="B208" s="240" t="s">
        <v>276</v>
      </c>
      <c r="C208" s="197"/>
      <c r="D208" s="197"/>
      <c r="E208" s="197"/>
      <c r="F208" s="197"/>
      <c r="G208" s="197">
        <f>H211-G210-G209</f>
        <v>8815</v>
      </c>
      <c r="H208" s="232"/>
    </row>
    <row r="209" spans="1:8" ht="14.1" customHeight="1">
      <c r="A209" s="293">
        <v>6224</v>
      </c>
      <c r="B209" s="240" t="s">
        <v>176</v>
      </c>
      <c r="C209" s="197"/>
      <c r="D209" s="197"/>
      <c r="E209" s="197"/>
      <c r="F209" s="197"/>
      <c r="G209" s="197">
        <v>1000</v>
      </c>
      <c r="H209" s="232"/>
    </row>
    <row r="210" spans="1:8" ht="14.1" customHeight="1">
      <c r="A210" s="203">
        <v>44522</v>
      </c>
      <c r="B210" s="151" t="s">
        <v>488</v>
      </c>
      <c r="C210" s="197"/>
      <c r="D210" s="197"/>
      <c r="E210" s="241">
        <v>0.185</v>
      </c>
      <c r="F210" s="197"/>
      <c r="G210" s="197">
        <f>G209*E210</f>
        <v>185</v>
      </c>
      <c r="H210" s="232"/>
    </row>
    <row r="211" spans="1:8" ht="14.1" customHeight="1">
      <c r="A211" s="230"/>
      <c r="B211" s="286">
        <v>4094</v>
      </c>
      <c r="C211" s="240" t="s">
        <v>283</v>
      </c>
      <c r="D211" s="197"/>
      <c r="E211" s="197"/>
      <c r="F211" s="197"/>
      <c r="G211" s="197"/>
      <c r="H211" s="232">
        <f>H203</f>
        <v>10000</v>
      </c>
    </row>
    <row r="212" spans="1:8" ht="14.1" customHeight="1">
      <c r="A212" s="271" t="s">
        <v>1111</v>
      </c>
      <c r="B212" s="272"/>
      <c r="C212" s="273"/>
      <c r="D212" s="274"/>
      <c r="E212" s="274"/>
      <c r="F212" s="274"/>
      <c r="G212" s="274"/>
      <c r="H212" s="275"/>
    </row>
    <row r="213" spans="1:8" ht="14.1" customHeight="1">
      <c r="A213" s="271">
        <f>A208</f>
        <v>4011</v>
      </c>
      <c r="B213" s="274" t="str">
        <f>B208</f>
        <v>Fournisseurs</v>
      </c>
      <c r="C213" s="274"/>
      <c r="D213" s="274">
        <f>B211</f>
        <v>4094</v>
      </c>
      <c r="E213" s="274" t="str">
        <f t="shared" ref="E213" si="9">C211</f>
        <v>Fournisseurs créances pour emballages et matériels à rendre</v>
      </c>
      <c r="F213" s="274"/>
      <c r="G213" s="274"/>
      <c r="H213" s="275">
        <f>G208</f>
        <v>8815</v>
      </c>
    </row>
    <row r="214" spans="1:8" ht="14.1" customHeight="1">
      <c r="A214" s="271">
        <f>A209</f>
        <v>6224</v>
      </c>
      <c r="B214" s="274" t="str">
        <f>B209</f>
        <v>Malis sur emballages</v>
      </c>
      <c r="C214" s="274"/>
      <c r="D214" s="274">
        <f>D213</f>
        <v>4094</v>
      </c>
      <c r="E214" s="274" t="str">
        <f>E213</f>
        <v>Fournisseurs créances pour emballages et matériels à rendre</v>
      </c>
      <c r="F214" s="274"/>
      <c r="G214" s="274"/>
      <c r="H214" s="275">
        <f>G210</f>
        <v>185</v>
      </c>
    </row>
    <row r="215" spans="1:8" ht="14.1" customHeight="1">
      <c r="A215" s="230"/>
      <c r="B215" s="197"/>
      <c r="C215" s="197"/>
      <c r="D215" s="197"/>
      <c r="E215" s="197"/>
      <c r="F215" s="197"/>
      <c r="G215" s="197"/>
      <c r="H215" s="232"/>
    </row>
    <row r="216" spans="1:8" ht="14.1" customHeight="1">
      <c r="A216" s="230"/>
      <c r="B216" s="197"/>
      <c r="C216" s="290"/>
      <c r="D216" s="197"/>
      <c r="E216" s="197"/>
      <c r="F216" s="197"/>
      <c r="G216" s="197"/>
      <c r="H216" s="232"/>
    </row>
    <row r="217" spans="1:8" ht="14.1" customHeight="1">
      <c r="A217" s="1173" t="s">
        <v>603</v>
      </c>
      <c r="B217" s="197"/>
      <c r="C217" s="197"/>
      <c r="D217" s="197"/>
      <c r="E217" s="197"/>
      <c r="F217" s="197"/>
      <c r="G217" s="220"/>
      <c r="H217" s="231"/>
    </row>
    <row r="218" spans="1:8" ht="14.1" customHeight="1">
      <c r="A218" s="204">
        <v>6011</v>
      </c>
      <c r="B218" s="140" t="s">
        <v>597</v>
      </c>
      <c r="C218" s="197"/>
      <c r="D218" s="197"/>
      <c r="E218" s="197"/>
      <c r="F218" s="197"/>
      <c r="G218" s="197">
        <f>H220-G219</f>
        <v>8150</v>
      </c>
      <c r="H218" s="232"/>
    </row>
    <row r="219" spans="1:8" ht="14.1" customHeight="1">
      <c r="A219" s="203">
        <v>44522</v>
      </c>
      <c r="B219" s="151" t="s">
        <v>488</v>
      </c>
      <c r="C219" s="197"/>
      <c r="D219" s="197"/>
      <c r="E219" s="241">
        <v>0.185</v>
      </c>
      <c r="F219" s="197"/>
      <c r="G219" s="197">
        <f>H220*E219</f>
        <v>1850</v>
      </c>
      <c r="H219" s="232"/>
    </row>
    <row r="220" spans="1:8" ht="14.1" customHeight="1">
      <c r="A220" s="230"/>
      <c r="B220" s="286">
        <v>4011</v>
      </c>
      <c r="C220" s="240" t="s">
        <v>276</v>
      </c>
      <c r="D220" s="197"/>
      <c r="E220" s="197"/>
      <c r="F220" s="197"/>
      <c r="G220" s="197"/>
      <c r="H220" s="232">
        <f>H211</f>
        <v>10000</v>
      </c>
    </row>
    <row r="221" spans="1:8" ht="14.1" customHeight="1">
      <c r="A221" s="271" t="s">
        <v>1111</v>
      </c>
      <c r="B221" s="272"/>
      <c r="C221" s="273"/>
      <c r="D221" s="274"/>
      <c r="E221" s="274"/>
      <c r="F221" s="274"/>
      <c r="G221" s="274"/>
      <c r="H221" s="275"/>
    </row>
    <row r="222" spans="1:8" ht="14.1" customHeight="1">
      <c r="A222" s="276">
        <f>A218</f>
        <v>6011</v>
      </c>
      <c r="B222" s="277" t="str">
        <f>B218</f>
        <v>MP, fournitures &amp; Emb. À 18.5%</v>
      </c>
      <c r="C222" s="277"/>
      <c r="D222" s="277">
        <f>B220</f>
        <v>4011</v>
      </c>
      <c r="E222" s="277" t="str">
        <f t="shared" ref="E222" si="10">C220</f>
        <v>Fournisseurs</v>
      </c>
      <c r="F222" s="277"/>
      <c r="G222" s="277"/>
      <c r="H222" s="278">
        <f>G218</f>
        <v>8150</v>
      </c>
    </row>
  </sheetData>
  <mergeCells count="1">
    <mergeCell ref="A2:H2"/>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sheetPr codeName="Feuil18"/>
  <dimension ref="A1:H53"/>
  <sheetViews>
    <sheetView workbookViewId="0">
      <selection activeCell="I2" sqref="I2"/>
    </sheetView>
  </sheetViews>
  <sheetFormatPr baseColWidth="10" defaultRowHeight="14.1" customHeight="1"/>
  <cols>
    <col min="1" max="1" width="9.85546875" style="541" customWidth="1"/>
    <col min="2" max="2" width="36.42578125" style="541" customWidth="1"/>
    <col min="3" max="3" width="16.42578125" style="541" customWidth="1"/>
    <col min="4" max="4" width="10.7109375" style="541" customWidth="1"/>
    <col min="5" max="6" width="12.5703125" style="541" customWidth="1"/>
    <col min="7" max="7" width="14.140625" style="541" customWidth="1"/>
    <col min="8" max="1024" width="16.42578125" style="541" customWidth="1"/>
    <col min="1025" max="16384" width="11.42578125" style="541"/>
  </cols>
  <sheetData>
    <row r="1" spans="1:8" ht="14.1" customHeight="1">
      <c r="B1" s="1180" t="s">
        <v>604</v>
      </c>
    </row>
    <row r="4" spans="1:8" ht="14.1" customHeight="1">
      <c r="A4" s="1178" t="s">
        <v>1154</v>
      </c>
      <c r="B4" s="612"/>
      <c r="C4" s="612"/>
      <c r="D4" s="607">
        <v>120000</v>
      </c>
      <c r="E4" s="612"/>
      <c r="F4" s="612"/>
      <c r="G4" s="612"/>
      <c r="H4" s="613"/>
    </row>
    <row r="5" spans="1:8" ht="14.1" customHeight="1">
      <c r="A5" s="609"/>
      <c r="B5" s="609"/>
      <c r="C5" s="609"/>
      <c r="D5" s="609"/>
      <c r="E5" s="609"/>
      <c r="F5" s="609"/>
      <c r="G5" s="609"/>
      <c r="H5" s="614"/>
    </row>
    <row r="6" spans="1:8" ht="14.1" customHeight="1">
      <c r="A6" s="609" t="s">
        <v>1573</v>
      </c>
      <c r="B6" s="609"/>
      <c r="C6" s="609"/>
      <c r="D6" s="609" t="s">
        <v>1574</v>
      </c>
      <c r="E6" s="609"/>
      <c r="F6" s="609" t="s">
        <v>1575</v>
      </c>
      <c r="G6" s="609"/>
      <c r="H6" s="614"/>
    </row>
    <row r="7" spans="1:8" ht="14.1" customHeight="1">
      <c r="A7" s="622" t="s">
        <v>285</v>
      </c>
      <c r="B7" s="609"/>
      <c r="C7" s="609"/>
      <c r="D7" s="607">
        <v>10000</v>
      </c>
      <c r="E7" s="609"/>
      <c r="F7" s="607">
        <v>12000</v>
      </c>
      <c r="G7" s="609"/>
      <c r="H7" s="614">
        <f>SUM(D7:F7)</f>
        <v>22000</v>
      </c>
    </row>
    <row r="8" spans="1:8" ht="14.1" customHeight="1">
      <c r="A8" s="622" t="s">
        <v>286</v>
      </c>
      <c r="B8" s="609"/>
      <c r="C8" s="609"/>
      <c r="D8" s="607">
        <v>3000</v>
      </c>
      <c r="E8" s="609"/>
      <c r="F8" s="607">
        <v>3000</v>
      </c>
      <c r="G8" s="609"/>
      <c r="H8" s="614">
        <f>SUM(D8:F8)</f>
        <v>6000</v>
      </c>
    </row>
    <row r="9" spans="1:8" ht="14.1" customHeight="1">
      <c r="A9" s="622" t="s">
        <v>287</v>
      </c>
      <c r="B9" s="609"/>
      <c r="C9" s="609"/>
      <c r="D9" s="607">
        <v>5000</v>
      </c>
      <c r="E9" s="609"/>
      <c r="F9" s="607">
        <v>5000</v>
      </c>
      <c r="G9" s="609"/>
      <c r="H9" s="614">
        <f>SUM(D9:F9)</f>
        <v>10000</v>
      </c>
    </row>
    <row r="10" spans="1:8" ht="14.1" customHeight="1">
      <c r="A10" s="1179" t="s">
        <v>1158</v>
      </c>
      <c r="B10" s="633"/>
      <c r="C10" s="633"/>
      <c r="D10" s="633">
        <f>SUM(D7:D9)</f>
        <v>18000</v>
      </c>
      <c r="E10" s="609"/>
      <c r="F10" s="632">
        <f t="shared" ref="F10" si="0">SUM(F7:F9)</f>
        <v>20000</v>
      </c>
      <c r="G10" s="609"/>
      <c r="H10" s="614">
        <f>SUM(D10:F10)</f>
        <v>38000</v>
      </c>
    </row>
    <row r="11" spans="1:8" ht="14.1" customHeight="1">
      <c r="A11" s="615" t="s">
        <v>1155</v>
      </c>
      <c r="B11" s="609"/>
      <c r="C11" s="609"/>
      <c r="D11" s="609">
        <f>D4-D10</f>
        <v>102000</v>
      </c>
      <c r="E11" s="609"/>
      <c r="F11" s="609"/>
      <c r="G11" s="609"/>
      <c r="H11" s="614"/>
    </row>
    <row r="12" spans="1:8" ht="14.1" customHeight="1">
      <c r="A12" s="615"/>
      <c r="B12" s="609"/>
      <c r="C12" s="609"/>
      <c r="D12" s="609"/>
      <c r="E12" s="609"/>
      <c r="F12" s="609"/>
      <c r="G12" s="609"/>
      <c r="H12" s="614"/>
    </row>
    <row r="13" spans="1:8" ht="14.1" customHeight="1">
      <c r="A13" s="616"/>
      <c r="B13" s="610"/>
      <c r="C13" s="610"/>
      <c r="D13" s="623"/>
      <c r="E13" s="623"/>
      <c r="F13" s="611" t="s">
        <v>595</v>
      </c>
      <c r="G13" s="611" t="s">
        <v>596</v>
      </c>
      <c r="H13" s="617"/>
    </row>
    <row r="14" spans="1:8" ht="14.1" customHeight="1">
      <c r="A14" s="624" t="s">
        <v>404</v>
      </c>
      <c r="B14" s="623"/>
      <c r="C14" s="610"/>
      <c r="D14" s="623"/>
      <c r="E14" s="623"/>
      <c r="F14" s="610">
        <f>D4</f>
        <v>120000</v>
      </c>
      <c r="G14" s="610"/>
      <c r="H14" s="617"/>
    </row>
    <row r="15" spans="1:8" ht="14.1" customHeight="1">
      <c r="A15" s="616" t="s">
        <v>1156</v>
      </c>
      <c r="B15" s="610"/>
      <c r="C15" s="610"/>
      <c r="D15" s="623"/>
      <c r="E15" s="623"/>
      <c r="F15" s="610">
        <f>F10</f>
        <v>20000</v>
      </c>
      <c r="G15" s="610"/>
      <c r="H15" s="617"/>
    </row>
    <row r="16" spans="1:8" ht="14.1" customHeight="1">
      <c r="A16" s="622" t="s">
        <v>285</v>
      </c>
      <c r="B16" s="610"/>
      <c r="C16" s="610"/>
      <c r="D16" s="623"/>
      <c r="E16" s="623"/>
      <c r="F16" s="610"/>
      <c r="G16" s="610">
        <f>H7</f>
        <v>22000</v>
      </c>
      <c r="H16" s="617"/>
    </row>
    <row r="17" spans="1:8" ht="14.1" customHeight="1">
      <c r="A17" s="622" t="s">
        <v>286</v>
      </c>
      <c r="B17" s="610"/>
      <c r="C17" s="610"/>
      <c r="D17" s="623"/>
      <c r="E17" s="623"/>
      <c r="F17" s="610"/>
      <c r="G17" s="610">
        <f>H9</f>
        <v>10000</v>
      </c>
      <c r="H17" s="617"/>
    </row>
    <row r="18" spans="1:8" ht="14.1" customHeight="1">
      <c r="A18" s="622" t="s">
        <v>287</v>
      </c>
      <c r="B18" s="610"/>
      <c r="C18" s="610"/>
      <c r="D18" s="623"/>
      <c r="E18" s="623"/>
      <c r="F18" s="610"/>
      <c r="G18" s="610">
        <f>H8</f>
        <v>6000</v>
      </c>
      <c r="H18" s="617"/>
    </row>
    <row r="19" spans="1:8" ht="14.1" customHeight="1">
      <c r="A19" s="537" t="s">
        <v>607</v>
      </c>
      <c r="B19" s="610"/>
      <c r="C19" s="610"/>
      <c r="D19" s="623"/>
      <c r="E19" s="623"/>
      <c r="F19" s="610"/>
      <c r="G19" s="610">
        <f>D11</f>
        <v>102000</v>
      </c>
      <c r="H19" s="617"/>
    </row>
    <row r="20" spans="1:8" ht="14.1" customHeight="1">
      <c r="A20" s="618" t="s">
        <v>1157</v>
      </c>
      <c r="B20" s="619"/>
      <c r="C20" s="619"/>
      <c r="D20" s="625"/>
      <c r="E20" s="625"/>
      <c r="F20" s="620">
        <f>SUM(F14:F19)</f>
        <v>140000</v>
      </c>
      <c r="G20" s="620">
        <f>SUM(G14:G19)</f>
        <v>140000</v>
      </c>
      <c r="H20" s="621"/>
    </row>
    <row r="21" spans="1:8" ht="14.1" customHeight="1">
      <c r="A21" s="626"/>
      <c r="B21" s="626"/>
      <c r="C21" s="626"/>
      <c r="D21" s="626"/>
      <c r="E21" s="626"/>
      <c r="F21" s="626"/>
      <c r="G21" s="626"/>
      <c r="H21" s="626"/>
    </row>
    <row r="22" spans="1:8" ht="14.1" customHeight="1">
      <c r="A22" s="1175" t="s">
        <v>247</v>
      </c>
      <c r="B22" s="1176"/>
      <c r="C22" s="1176"/>
      <c r="D22" s="533"/>
      <c r="E22" s="533"/>
      <c r="F22" s="533"/>
      <c r="G22" s="533"/>
      <c r="H22" s="534"/>
    </row>
    <row r="23" spans="1:8" ht="14.1" customHeight="1">
      <c r="A23" s="627">
        <v>421</v>
      </c>
      <c r="B23" s="628" t="s">
        <v>605</v>
      </c>
      <c r="C23" s="535"/>
      <c r="D23" s="535"/>
      <c r="E23" s="535"/>
      <c r="F23" s="535"/>
      <c r="G23" s="542">
        <v>20000</v>
      </c>
      <c r="H23" s="536"/>
    </row>
    <row r="24" spans="1:8" ht="14.1" customHeight="1">
      <c r="A24" s="537"/>
      <c r="B24" s="623">
        <v>520</v>
      </c>
      <c r="C24" s="623" t="s">
        <v>170</v>
      </c>
      <c r="D24" s="535"/>
      <c r="E24" s="535"/>
      <c r="F24" s="535"/>
      <c r="G24" s="535"/>
      <c r="H24" s="536">
        <f>G23</f>
        <v>20000</v>
      </c>
    </row>
    <row r="25" spans="1:8" ht="14.1" customHeight="1">
      <c r="A25" s="537"/>
      <c r="B25" s="535"/>
      <c r="C25" s="535"/>
      <c r="D25" s="535"/>
      <c r="E25" s="535"/>
      <c r="F25" s="535"/>
      <c r="G25" s="535"/>
      <c r="H25" s="536"/>
    </row>
    <row r="26" spans="1:8" ht="14.1" customHeight="1">
      <c r="A26" s="1177" t="s">
        <v>606</v>
      </c>
      <c r="B26" s="535"/>
      <c r="C26" s="535"/>
      <c r="D26" s="535"/>
      <c r="E26" s="535"/>
      <c r="F26" s="535"/>
      <c r="G26" s="535"/>
      <c r="H26" s="536"/>
    </row>
    <row r="27" spans="1:8" ht="14.1" customHeight="1">
      <c r="A27" s="624">
        <v>6611</v>
      </c>
      <c r="B27" s="623" t="s">
        <v>404</v>
      </c>
      <c r="C27" s="535"/>
      <c r="D27" s="535"/>
      <c r="E27" s="535"/>
      <c r="F27" s="535"/>
      <c r="G27" s="535">
        <f>F14</f>
        <v>120000</v>
      </c>
      <c r="H27" s="536"/>
    </row>
    <row r="28" spans="1:8" ht="14.1" customHeight="1">
      <c r="A28" s="537"/>
      <c r="B28" s="628">
        <v>422</v>
      </c>
      <c r="C28" s="628" t="s">
        <v>607</v>
      </c>
      <c r="D28" s="628"/>
      <c r="E28" s="535"/>
      <c r="F28" s="535"/>
      <c r="G28" s="535"/>
      <c r="H28" s="536">
        <f>G27</f>
        <v>120000</v>
      </c>
    </row>
    <row r="29" spans="1:8" ht="14.1" customHeight="1">
      <c r="A29" s="537"/>
      <c r="B29" s="535"/>
      <c r="C29" s="535"/>
      <c r="D29" s="535"/>
      <c r="E29" s="535"/>
      <c r="F29" s="535"/>
      <c r="G29" s="535"/>
      <c r="H29" s="536"/>
    </row>
    <row r="30" spans="1:8" ht="14.1" customHeight="1">
      <c r="A30" s="1177" t="s">
        <v>248</v>
      </c>
      <c r="B30" s="535"/>
      <c r="C30" s="535"/>
      <c r="D30" s="535"/>
      <c r="E30" s="535"/>
      <c r="F30" s="535"/>
      <c r="G30" s="535"/>
      <c r="H30" s="536"/>
    </row>
    <row r="31" spans="1:8" ht="14.1" customHeight="1">
      <c r="A31" s="537">
        <v>422</v>
      </c>
      <c r="B31" s="535" t="s">
        <v>607</v>
      </c>
      <c r="C31" s="535"/>
      <c r="D31" s="535"/>
      <c r="E31" s="535"/>
      <c r="F31" s="535"/>
      <c r="G31" s="535">
        <f>SUM(H32:H34)</f>
        <v>18000</v>
      </c>
      <c r="H31" s="536"/>
    </row>
    <row r="32" spans="1:8" ht="14.1" customHeight="1">
      <c r="A32" s="537"/>
      <c r="B32" s="629">
        <v>431</v>
      </c>
      <c r="C32" s="630" t="s">
        <v>285</v>
      </c>
      <c r="D32" s="535"/>
      <c r="E32" s="535"/>
      <c r="F32" s="535"/>
      <c r="G32" s="535"/>
      <c r="H32" s="703">
        <f>D7</f>
        <v>10000</v>
      </c>
    </row>
    <row r="33" spans="1:8" ht="14.1" customHeight="1">
      <c r="A33" s="537"/>
      <c r="B33" s="629">
        <v>433</v>
      </c>
      <c r="C33" s="630" t="s">
        <v>286</v>
      </c>
      <c r="D33" s="535"/>
      <c r="E33" s="535"/>
      <c r="F33" s="535"/>
      <c r="G33" s="535"/>
      <c r="H33" s="703">
        <f t="shared" ref="H33:H34" si="1">D8</f>
        <v>3000</v>
      </c>
    </row>
    <row r="34" spans="1:8" ht="14.1" customHeight="1">
      <c r="A34" s="537"/>
      <c r="B34" s="629">
        <v>438</v>
      </c>
      <c r="C34" s="630" t="s">
        <v>287</v>
      </c>
      <c r="D34" s="535"/>
      <c r="E34" s="535"/>
      <c r="F34" s="535"/>
      <c r="G34" s="535"/>
      <c r="H34" s="703">
        <f t="shared" si="1"/>
        <v>5000</v>
      </c>
    </row>
    <row r="35" spans="1:8" ht="14.1" customHeight="1">
      <c r="A35" s="537"/>
      <c r="B35" s="535"/>
      <c r="C35" s="535"/>
      <c r="D35" s="535"/>
      <c r="E35" s="535"/>
      <c r="F35" s="535"/>
      <c r="G35" s="535"/>
      <c r="H35" s="536"/>
    </row>
    <row r="36" spans="1:8" ht="14.1" customHeight="1">
      <c r="A36" s="1177" t="s">
        <v>249</v>
      </c>
      <c r="B36" s="535"/>
      <c r="C36" s="535"/>
      <c r="D36" s="535"/>
      <c r="E36" s="535"/>
      <c r="F36" s="535"/>
      <c r="G36" s="535"/>
      <c r="H36" s="536"/>
    </row>
    <row r="37" spans="1:8" ht="14.1" customHeight="1">
      <c r="A37" s="537">
        <v>422</v>
      </c>
      <c r="B37" s="535" t="s">
        <v>607</v>
      </c>
      <c r="C37" s="535"/>
      <c r="D37" s="535"/>
      <c r="E37" s="535"/>
      <c r="F37" s="535"/>
      <c r="G37" s="535">
        <f>SUM(H38:H39)</f>
        <v>102000</v>
      </c>
      <c r="H37" s="536"/>
    </row>
    <row r="38" spans="1:8" ht="14.1" customHeight="1">
      <c r="A38" s="537"/>
      <c r="B38" s="608">
        <f>A23</f>
        <v>421</v>
      </c>
      <c r="C38" s="535" t="str">
        <f t="shared" ref="C38" si="2">B23</f>
        <v>Personnel, avances, accomptes salaires</v>
      </c>
      <c r="D38" s="535"/>
      <c r="E38" s="535"/>
      <c r="F38" s="535"/>
      <c r="G38" s="535"/>
      <c r="H38" s="536">
        <f>H24</f>
        <v>20000</v>
      </c>
    </row>
    <row r="39" spans="1:8" ht="14.1" customHeight="1">
      <c r="A39" s="537"/>
      <c r="B39" s="623">
        <v>520</v>
      </c>
      <c r="C39" s="623" t="s">
        <v>170</v>
      </c>
      <c r="D39" s="535"/>
      <c r="E39" s="535"/>
      <c r="F39" s="535"/>
      <c r="G39" s="535"/>
      <c r="H39" s="536">
        <f>H28-G31-H38</f>
        <v>82000</v>
      </c>
    </row>
    <row r="40" spans="1:8" ht="14.1" customHeight="1">
      <c r="A40" s="537"/>
      <c r="B40" s="535"/>
      <c r="C40" s="535"/>
      <c r="D40" s="535"/>
      <c r="E40" s="535"/>
      <c r="F40" s="535"/>
      <c r="G40" s="535"/>
      <c r="H40" s="536"/>
    </row>
    <row r="41" spans="1:8" ht="14.1" customHeight="1">
      <c r="A41" s="631">
        <v>6662</v>
      </c>
      <c r="B41" s="630" t="s">
        <v>219</v>
      </c>
      <c r="C41" s="535"/>
      <c r="D41" s="535"/>
      <c r="E41" s="535"/>
      <c r="F41" s="535"/>
      <c r="G41" s="535"/>
      <c r="H41" s="536"/>
    </row>
    <row r="42" spans="1:8" ht="14.1" customHeight="1">
      <c r="A42" s="537"/>
      <c r="B42" s="535"/>
      <c r="C42" s="535"/>
      <c r="D42" s="535"/>
      <c r="E42" s="535"/>
      <c r="F42" s="535"/>
      <c r="G42" s="535">
        <f>SUM(H43:H45)</f>
        <v>20000</v>
      </c>
      <c r="H42" s="536"/>
    </row>
    <row r="43" spans="1:8" ht="14.1" customHeight="1">
      <c r="A43" s="537"/>
      <c r="B43" s="535">
        <v>431</v>
      </c>
      <c r="C43" s="535" t="s">
        <v>285</v>
      </c>
      <c r="D43" s="535"/>
      <c r="E43" s="535"/>
      <c r="F43" s="535"/>
      <c r="G43" s="535"/>
      <c r="H43" s="703">
        <f>F7</f>
        <v>12000</v>
      </c>
    </row>
    <row r="44" spans="1:8" ht="14.1" customHeight="1">
      <c r="A44" s="537"/>
      <c r="B44" s="535">
        <v>433</v>
      </c>
      <c r="C44" s="535" t="s">
        <v>286</v>
      </c>
      <c r="D44" s="535"/>
      <c r="E44" s="535"/>
      <c r="F44" s="535"/>
      <c r="G44" s="535"/>
      <c r="H44" s="703">
        <f t="shared" ref="H44:H45" si="3">F8</f>
        <v>3000</v>
      </c>
    </row>
    <row r="45" spans="1:8" ht="14.1" customHeight="1">
      <c r="A45" s="537"/>
      <c r="B45" s="535">
        <v>438</v>
      </c>
      <c r="C45" s="535" t="s">
        <v>287</v>
      </c>
      <c r="D45" s="535"/>
      <c r="E45" s="535"/>
      <c r="F45" s="535"/>
      <c r="G45" s="535"/>
      <c r="H45" s="703">
        <f t="shared" si="3"/>
        <v>5000</v>
      </c>
    </row>
    <row r="46" spans="1:8" ht="14.1" customHeight="1">
      <c r="A46" s="537"/>
      <c r="B46" s="535"/>
      <c r="C46" s="535"/>
      <c r="D46" s="535"/>
      <c r="E46" s="535"/>
      <c r="F46" s="535"/>
      <c r="G46" s="535"/>
      <c r="H46" s="536"/>
    </row>
    <row r="47" spans="1:8" ht="14.1" customHeight="1">
      <c r="A47" s="1177" t="s">
        <v>608</v>
      </c>
      <c r="B47" s="535"/>
      <c r="C47" s="535"/>
      <c r="D47" s="535"/>
      <c r="E47" s="535"/>
      <c r="F47" s="535"/>
      <c r="G47" s="535"/>
      <c r="H47" s="536"/>
    </row>
    <row r="48" spans="1:8" ht="14.1" customHeight="1">
      <c r="A48" s="537">
        <v>431</v>
      </c>
      <c r="B48" s="535" t="s">
        <v>285</v>
      </c>
      <c r="C48" s="535"/>
      <c r="D48" s="535"/>
      <c r="E48" s="535"/>
      <c r="F48" s="535"/>
      <c r="G48" s="535">
        <f>SUM(H32,H43)</f>
        <v>22000</v>
      </c>
      <c r="H48" s="536"/>
    </row>
    <row r="49" spans="1:8" ht="14.1" customHeight="1">
      <c r="A49" s="537">
        <v>433</v>
      </c>
      <c r="B49" s="535" t="s">
        <v>286</v>
      </c>
      <c r="C49" s="535"/>
      <c r="D49" s="535"/>
      <c r="E49" s="535"/>
      <c r="F49" s="535"/>
      <c r="G49" s="535">
        <f>SUM(H33,H44)</f>
        <v>6000</v>
      </c>
      <c r="H49" s="536"/>
    </row>
    <row r="50" spans="1:8" ht="14.1" customHeight="1">
      <c r="A50" s="537">
        <v>438</v>
      </c>
      <c r="B50" s="535" t="s">
        <v>287</v>
      </c>
      <c r="C50" s="535"/>
      <c r="D50" s="535"/>
      <c r="E50" s="535"/>
      <c r="F50" s="535"/>
      <c r="G50" s="535">
        <f>SUM(H34,H45)</f>
        <v>10000</v>
      </c>
      <c r="H50" s="536"/>
    </row>
    <row r="51" spans="1:8" ht="14.1" customHeight="1">
      <c r="A51" s="537"/>
      <c r="B51" s="535">
        <v>520</v>
      </c>
      <c r="C51" s="535" t="s">
        <v>503</v>
      </c>
      <c r="D51" s="535"/>
      <c r="E51" s="535"/>
      <c r="F51" s="535"/>
      <c r="G51" s="535"/>
      <c r="H51" s="536">
        <f>G48</f>
        <v>22000</v>
      </c>
    </row>
    <row r="52" spans="1:8" ht="14.1" customHeight="1">
      <c r="A52" s="537"/>
      <c r="B52" s="535">
        <v>520</v>
      </c>
      <c r="C52" s="535" t="s">
        <v>503</v>
      </c>
      <c r="D52" s="535"/>
      <c r="E52" s="535"/>
      <c r="F52" s="535"/>
      <c r="G52" s="535"/>
      <c r="H52" s="536">
        <f t="shared" ref="H52:H53" si="4">G49</f>
        <v>6000</v>
      </c>
    </row>
    <row r="53" spans="1:8" ht="14.1" customHeight="1">
      <c r="A53" s="538"/>
      <c r="B53" s="539">
        <v>520</v>
      </c>
      <c r="C53" s="539" t="s">
        <v>503</v>
      </c>
      <c r="D53" s="539"/>
      <c r="E53" s="539"/>
      <c r="F53" s="539"/>
      <c r="G53" s="539"/>
      <c r="H53" s="540">
        <f t="shared" si="4"/>
        <v>10000</v>
      </c>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sheetPr codeName="Feuil19"/>
  <dimension ref="A1:I411"/>
  <sheetViews>
    <sheetView workbookViewId="0">
      <selection activeCell="F4" sqref="F4"/>
    </sheetView>
  </sheetViews>
  <sheetFormatPr baseColWidth="10" defaultRowHeight="14.1" customHeight="1"/>
  <cols>
    <col min="1" max="1" width="12.28515625" style="543" customWidth="1"/>
    <col min="2" max="2" width="36" style="543" customWidth="1"/>
    <col min="3" max="3" width="27.42578125" style="543" customWidth="1"/>
    <col min="4" max="1024" width="12.28515625" style="543" customWidth="1"/>
    <col min="1025" max="16384" width="11.42578125" style="543"/>
  </cols>
  <sheetData>
    <row r="1" spans="1:8" ht="12.75" customHeight="1">
      <c r="B1" s="1245" t="s">
        <v>609</v>
      </c>
    </row>
    <row r="2" spans="1:8" ht="12.75" customHeight="1"/>
    <row r="4" spans="1:8" ht="14.1" customHeight="1">
      <c r="A4" s="1243" t="s">
        <v>610</v>
      </c>
      <c r="B4" s="1244"/>
      <c r="C4" s="545"/>
      <c r="D4" s="545"/>
      <c r="E4" s="545"/>
      <c r="F4" s="545"/>
      <c r="G4" s="545"/>
      <c r="H4" s="546"/>
    </row>
    <row r="5" spans="1:8" ht="14.1" customHeight="1">
      <c r="A5" s="547"/>
      <c r="B5" s="548">
        <v>4012</v>
      </c>
      <c r="C5" s="548" t="s">
        <v>277</v>
      </c>
      <c r="D5" s="549"/>
      <c r="E5" s="549"/>
      <c r="F5" s="549"/>
      <c r="G5" s="549"/>
      <c r="H5" s="550">
        <f>G6</f>
        <v>650000</v>
      </c>
    </row>
    <row r="6" spans="1:8" ht="14.1" customHeight="1">
      <c r="A6" s="551">
        <v>6013</v>
      </c>
      <c r="B6" s="552" t="s">
        <v>356</v>
      </c>
      <c r="C6" s="549"/>
      <c r="D6" s="549"/>
      <c r="E6" s="549"/>
      <c r="F6" s="549"/>
      <c r="G6" s="549">
        <f>G8*E7</f>
        <v>650000</v>
      </c>
      <c r="H6" s="550"/>
    </row>
    <row r="7" spans="1:8" ht="14.1" customHeight="1">
      <c r="A7" s="547"/>
      <c r="B7" s="549"/>
      <c r="C7" s="549" t="s">
        <v>611</v>
      </c>
      <c r="D7" s="549"/>
      <c r="E7" s="555">
        <v>650</v>
      </c>
      <c r="F7" s="549"/>
      <c r="G7" s="549"/>
      <c r="H7" s="550"/>
    </row>
    <row r="8" spans="1:8" ht="14.1" customHeight="1">
      <c r="A8" s="547"/>
      <c r="B8" s="549"/>
      <c r="C8" s="549" t="s">
        <v>612</v>
      </c>
      <c r="D8" s="549"/>
      <c r="E8" s="549"/>
      <c r="F8" s="549"/>
      <c r="G8" s="555">
        <v>1000</v>
      </c>
      <c r="H8" s="550"/>
    </row>
    <row r="9" spans="1:8" ht="14.1" customHeight="1">
      <c r="A9" s="556" t="s">
        <v>1111</v>
      </c>
      <c r="B9" s="557"/>
      <c r="C9" s="557"/>
      <c r="D9" s="558"/>
      <c r="E9" s="558"/>
      <c r="F9" s="558"/>
      <c r="G9" s="558"/>
      <c r="H9" s="559"/>
    </row>
    <row r="10" spans="1:8" ht="14.1" customHeight="1">
      <c r="A10" s="556">
        <f>A6</f>
        <v>6013</v>
      </c>
      <c r="B10" s="558" t="str">
        <f>B6</f>
        <v>Achats de marchandises hors UEMOA</v>
      </c>
      <c r="C10" s="558"/>
      <c r="D10" s="558">
        <f>B5</f>
        <v>4012</v>
      </c>
      <c r="E10" s="558" t="str">
        <f>C5</f>
        <v>Fournisseurs étrangers</v>
      </c>
      <c r="F10" s="558"/>
      <c r="G10" s="558"/>
      <c r="H10" s="559">
        <f>G6</f>
        <v>650000</v>
      </c>
    </row>
    <row r="11" spans="1:8" ht="14.1" customHeight="1">
      <c r="A11" s="547"/>
      <c r="B11" s="549"/>
      <c r="C11" s="549"/>
      <c r="D11" s="549"/>
      <c r="E11" s="549"/>
      <c r="F11" s="549"/>
      <c r="G11" s="549"/>
      <c r="H11" s="550"/>
    </row>
    <row r="12" spans="1:8" ht="14.1" customHeight="1">
      <c r="A12" s="1246" t="s">
        <v>613</v>
      </c>
      <c r="B12" s="1247"/>
      <c r="C12" s="549"/>
      <c r="D12" s="549"/>
      <c r="E12" s="549"/>
      <c r="F12" s="549"/>
      <c r="G12" s="549"/>
      <c r="H12" s="550"/>
    </row>
    <row r="13" spans="1:8" ht="14.1" customHeight="1">
      <c r="A13" s="547"/>
      <c r="B13" s="549"/>
      <c r="C13" s="549" t="s">
        <v>614</v>
      </c>
      <c r="D13" s="549"/>
      <c r="E13" s="555">
        <v>649</v>
      </c>
      <c r="F13" s="549"/>
      <c r="G13" s="549"/>
      <c r="H13" s="550"/>
    </row>
    <row r="14" spans="1:8" ht="14.1" customHeight="1">
      <c r="A14" s="547">
        <v>4012</v>
      </c>
      <c r="B14" s="549" t="s">
        <v>495</v>
      </c>
      <c r="C14" s="549"/>
      <c r="D14" s="549"/>
      <c r="E14" s="549"/>
      <c r="F14" s="549"/>
      <c r="G14" s="549">
        <f>SUM(H15:H16)</f>
        <v>650000</v>
      </c>
      <c r="H14" s="550"/>
    </row>
    <row r="15" spans="1:8" ht="14.1" customHeight="1">
      <c r="A15" s="547"/>
      <c r="B15" s="552">
        <v>520</v>
      </c>
      <c r="C15" s="560" t="s">
        <v>170</v>
      </c>
      <c r="D15" s="549"/>
      <c r="E15" s="549"/>
      <c r="F15" s="549"/>
      <c r="G15" s="549"/>
      <c r="H15" s="550">
        <f>G8*E13</f>
        <v>649000</v>
      </c>
    </row>
    <row r="16" spans="1:8" ht="14.1" customHeight="1">
      <c r="A16" s="547"/>
      <c r="B16" s="549">
        <v>776</v>
      </c>
      <c r="C16" s="549" t="s">
        <v>615</v>
      </c>
      <c r="D16" s="549"/>
      <c r="E16" s="549"/>
      <c r="F16" s="549"/>
      <c r="G16" s="549"/>
      <c r="H16" s="550">
        <f>H5-H15</f>
        <v>1000</v>
      </c>
    </row>
    <row r="17" spans="1:8" ht="14.1" customHeight="1">
      <c r="A17" s="556" t="s">
        <v>1479</v>
      </c>
      <c r="B17" s="558"/>
      <c r="C17" s="558"/>
      <c r="D17" s="558"/>
      <c r="E17" s="558"/>
      <c r="F17" s="558"/>
      <c r="G17" s="558"/>
      <c r="H17" s="559"/>
    </row>
    <row r="18" spans="1:8" ht="14.1" customHeight="1">
      <c r="A18" s="556">
        <f>A14</f>
        <v>4012</v>
      </c>
      <c r="B18" s="558" t="str">
        <f>B14</f>
        <v xml:space="preserve">Fournisseurs étrangers </v>
      </c>
      <c r="C18" s="558"/>
      <c r="D18" s="558">
        <f>B15</f>
        <v>520</v>
      </c>
      <c r="E18" s="558" t="str">
        <f>C15</f>
        <v>Banques cpte en monnaie nationale</v>
      </c>
      <c r="F18" s="558"/>
      <c r="G18" s="558"/>
      <c r="H18" s="559">
        <f>H15</f>
        <v>649000</v>
      </c>
    </row>
    <row r="19" spans="1:8" ht="14.1" customHeight="1">
      <c r="A19" s="556">
        <f>A18</f>
        <v>4012</v>
      </c>
      <c r="B19" s="558" t="str">
        <f>B18</f>
        <v xml:space="preserve">Fournisseurs étrangers </v>
      </c>
      <c r="C19" s="558"/>
      <c r="D19" s="558">
        <f>B16</f>
        <v>776</v>
      </c>
      <c r="E19" s="558" t="str">
        <f>C16</f>
        <v>Gain de change</v>
      </c>
      <c r="F19" s="558"/>
      <c r="G19" s="558"/>
      <c r="H19" s="559">
        <f>H16</f>
        <v>1000</v>
      </c>
    </row>
    <row r="20" spans="1:8" ht="14.1" customHeight="1">
      <c r="A20" s="547"/>
      <c r="B20" s="549"/>
      <c r="C20" s="549"/>
      <c r="D20" s="549"/>
      <c r="E20" s="549"/>
      <c r="F20" s="549"/>
      <c r="G20" s="549"/>
      <c r="H20" s="550"/>
    </row>
    <row r="21" spans="1:8" ht="14.1" customHeight="1">
      <c r="A21" s="1246" t="s">
        <v>616</v>
      </c>
      <c r="B21" s="1247"/>
      <c r="C21" s="549"/>
      <c r="D21" s="549"/>
      <c r="E21" s="549"/>
      <c r="F21" s="549"/>
      <c r="G21" s="549"/>
      <c r="H21" s="550"/>
    </row>
    <row r="22" spans="1:8" ht="14.1" customHeight="1">
      <c r="A22" s="547"/>
      <c r="B22" s="549"/>
      <c r="C22" s="549" t="s">
        <v>611</v>
      </c>
      <c r="D22" s="549"/>
      <c r="E22" s="555">
        <v>655</v>
      </c>
      <c r="F22" s="549"/>
      <c r="G22" s="549"/>
      <c r="H22" s="550"/>
    </row>
    <row r="23" spans="1:8" ht="14.1" customHeight="1">
      <c r="A23" s="547">
        <v>4012</v>
      </c>
      <c r="B23" s="549" t="s">
        <v>495</v>
      </c>
      <c r="C23" s="549"/>
      <c r="D23" s="549"/>
      <c r="E23" s="549"/>
      <c r="F23" s="549"/>
      <c r="G23" s="549">
        <f>H5</f>
        <v>650000</v>
      </c>
      <c r="H23" s="550"/>
    </row>
    <row r="24" spans="1:8" ht="14.1" customHeight="1">
      <c r="A24" s="547">
        <v>6760</v>
      </c>
      <c r="B24" s="549" t="s">
        <v>617</v>
      </c>
      <c r="C24" s="549"/>
      <c r="D24" s="549"/>
      <c r="E24" s="549"/>
      <c r="F24" s="549"/>
      <c r="G24" s="549">
        <f>H25-G23</f>
        <v>5000</v>
      </c>
      <c r="H24" s="550"/>
    </row>
    <row r="25" spans="1:8" ht="14.1" customHeight="1">
      <c r="A25" s="547"/>
      <c r="B25" s="549">
        <v>520</v>
      </c>
      <c r="C25" s="549" t="s">
        <v>170</v>
      </c>
      <c r="D25" s="549"/>
      <c r="E25" s="549"/>
      <c r="F25" s="549"/>
      <c r="G25" s="549"/>
      <c r="H25" s="550">
        <f>G8*E22</f>
        <v>655000</v>
      </c>
    </row>
    <row r="26" spans="1:8" ht="14.1" customHeight="1">
      <c r="A26" s="556" t="s">
        <v>1479</v>
      </c>
      <c r="B26" s="558"/>
      <c r="C26" s="558"/>
      <c r="D26" s="558"/>
      <c r="E26" s="558"/>
      <c r="F26" s="558"/>
      <c r="G26" s="558"/>
      <c r="H26" s="559"/>
    </row>
    <row r="27" spans="1:8" ht="14.1" customHeight="1">
      <c r="A27" s="556">
        <f>A23</f>
        <v>4012</v>
      </c>
      <c r="B27" s="558" t="str">
        <f>B23</f>
        <v xml:space="preserve">Fournisseurs étrangers </v>
      </c>
      <c r="C27" s="558"/>
      <c r="D27" s="558">
        <f>B25</f>
        <v>520</v>
      </c>
      <c r="E27" s="558" t="str">
        <f>C25</f>
        <v>Banques cpte en monnaie nationale</v>
      </c>
      <c r="F27" s="558"/>
      <c r="G27" s="558"/>
      <c r="H27" s="559">
        <f>H25</f>
        <v>655000</v>
      </c>
    </row>
    <row r="28" spans="1:8" ht="14.1" customHeight="1">
      <c r="A28" s="561">
        <f>A24</f>
        <v>6760</v>
      </c>
      <c r="B28" s="562" t="str">
        <f>B24</f>
        <v>Perte de change</v>
      </c>
      <c r="C28" s="562"/>
      <c r="D28" s="562">
        <f>B25</f>
        <v>520</v>
      </c>
      <c r="E28" s="562" t="str">
        <f>C25</f>
        <v>Banques cpte en monnaie nationale</v>
      </c>
      <c r="F28" s="562"/>
      <c r="G28" s="562"/>
      <c r="H28" s="563">
        <f>G24</f>
        <v>5000</v>
      </c>
    </row>
    <row r="30" spans="1:8" ht="14.1" customHeight="1">
      <c r="A30" s="1248" t="s">
        <v>618</v>
      </c>
      <c r="B30" s="1248"/>
      <c r="C30" s="1248"/>
      <c r="D30" s="1248"/>
    </row>
    <row r="31" spans="1:8" ht="14.1" customHeight="1">
      <c r="A31" s="544"/>
      <c r="B31" s="545"/>
      <c r="C31" s="545"/>
      <c r="D31" s="545"/>
      <c r="E31" s="545"/>
      <c r="F31" s="545"/>
      <c r="G31" s="545"/>
      <c r="H31" s="546"/>
    </row>
    <row r="32" spans="1:8" ht="14.1" customHeight="1">
      <c r="A32" s="1246" t="s">
        <v>619</v>
      </c>
      <c r="B32" s="1247"/>
      <c r="C32" s="549"/>
      <c r="D32" s="549"/>
      <c r="E32" s="549"/>
      <c r="F32" s="549"/>
      <c r="G32" s="549"/>
      <c r="H32" s="550"/>
    </row>
    <row r="33" spans="1:8" ht="14.1" customHeight="1">
      <c r="A33" s="553">
        <v>4091</v>
      </c>
      <c r="B33" s="548" t="s">
        <v>282</v>
      </c>
      <c r="C33" s="549"/>
      <c r="D33" s="549"/>
      <c r="E33" s="549"/>
      <c r="F33" s="549"/>
      <c r="G33" s="549">
        <f>G36*E35</f>
        <v>32500000</v>
      </c>
      <c r="H33" s="550"/>
    </row>
    <row r="34" spans="1:8" ht="14.1" customHeight="1">
      <c r="A34" s="547"/>
      <c r="B34" s="552">
        <v>520</v>
      </c>
      <c r="C34" s="560" t="s">
        <v>170</v>
      </c>
      <c r="D34" s="549"/>
      <c r="E34" s="549"/>
      <c r="F34" s="549"/>
      <c r="G34" s="549"/>
      <c r="H34" s="550">
        <f>G33</f>
        <v>32500000</v>
      </c>
    </row>
    <row r="35" spans="1:8" ht="14.1" customHeight="1">
      <c r="A35" s="547"/>
      <c r="B35" s="549"/>
      <c r="C35" s="549" t="s">
        <v>611</v>
      </c>
      <c r="D35" s="549"/>
      <c r="E35" s="555">
        <v>650</v>
      </c>
      <c r="F35" s="549"/>
      <c r="G35" s="549"/>
      <c r="H35" s="550"/>
    </row>
    <row r="36" spans="1:8" ht="14.1" customHeight="1">
      <c r="A36" s="547"/>
      <c r="B36" s="549"/>
      <c r="C36" s="549" t="s">
        <v>620</v>
      </c>
      <c r="D36" s="549"/>
      <c r="E36" s="549"/>
      <c r="F36" s="549"/>
      <c r="G36" s="555">
        <v>50000</v>
      </c>
      <c r="H36" s="550"/>
    </row>
    <row r="37" spans="1:8" ht="14.1" customHeight="1">
      <c r="A37" s="556" t="s">
        <v>1111</v>
      </c>
      <c r="B37" s="557"/>
      <c r="C37" s="557"/>
      <c r="D37" s="558"/>
      <c r="E37" s="558"/>
      <c r="F37" s="558"/>
      <c r="G37" s="558"/>
      <c r="H37" s="559"/>
    </row>
    <row r="38" spans="1:8" ht="14.1" customHeight="1">
      <c r="A38" s="556">
        <f>A33</f>
        <v>4091</v>
      </c>
      <c r="B38" s="558" t="str">
        <f>B33</f>
        <v>Fournisseurs avances et acomptes versés</v>
      </c>
      <c r="C38" s="558"/>
      <c r="D38" s="558">
        <f>B34</f>
        <v>520</v>
      </c>
      <c r="E38" s="558" t="str">
        <f>C34</f>
        <v>Banques cpte en monnaie nationale</v>
      </c>
      <c r="F38" s="558"/>
      <c r="G38" s="558"/>
      <c r="H38" s="559">
        <f>G33</f>
        <v>32500000</v>
      </c>
    </row>
    <row r="39" spans="1:8" ht="14.1" customHeight="1">
      <c r="A39" s="1246" t="s">
        <v>610</v>
      </c>
      <c r="B39" s="1247"/>
      <c r="C39" s="549"/>
      <c r="D39" s="549"/>
      <c r="E39" s="549"/>
      <c r="F39" s="549"/>
      <c r="G39" s="549"/>
      <c r="H39" s="550"/>
    </row>
    <row r="40" spans="1:8" ht="14.1" customHeight="1">
      <c r="A40" s="547"/>
      <c r="B40" s="548">
        <v>4012</v>
      </c>
      <c r="C40" s="548" t="s">
        <v>277</v>
      </c>
      <c r="D40" s="549"/>
      <c r="E40" s="549"/>
      <c r="F40" s="549"/>
      <c r="G40" s="549"/>
      <c r="H40" s="550">
        <f>G42-H41</f>
        <v>32500000</v>
      </c>
    </row>
    <row r="41" spans="1:8" ht="14.1" customHeight="1">
      <c r="A41" s="547"/>
      <c r="B41" s="549">
        <v>4091</v>
      </c>
      <c r="C41" s="549" t="s">
        <v>496</v>
      </c>
      <c r="D41" s="549"/>
      <c r="E41" s="549"/>
      <c r="F41" s="549"/>
      <c r="G41" s="549"/>
      <c r="H41" s="550">
        <f>H34</f>
        <v>32500000</v>
      </c>
    </row>
    <row r="42" spans="1:8" ht="14.1" customHeight="1">
      <c r="A42" s="551">
        <v>6013</v>
      </c>
      <c r="B42" s="552" t="s">
        <v>356</v>
      </c>
      <c r="C42" s="549"/>
      <c r="D42" s="549"/>
      <c r="E42" s="549"/>
      <c r="F42" s="549"/>
      <c r="G42" s="549">
        <f>G44*E43</f>
        <v>65000000</v>
      </c>
      <c r="H42" s="550"/>
    </row>
    <row r="43" spans="1:8" ht="14.1" customHeight="1">
      <c r="A43" s="547"/>
      <c r="B43" s="549"/>
      <c r="C43" s="549" t="s">
        <v>611</v>
      </c>
      <c r="D43" s="549"/>
      <c r="E43" s="555">
        <v>650</v>
      </c>
      <c r="F43" s="549"/>
      <c r="G43" s="549"/>
      <c r="H43" s="550"/>
    </row>
    <row r="44" spans="1:8" ht="14.1" customHeight="1">
      <c r="A44" s="547"/>
      <c r="B44" s="549"/>
      <c r="C44" s="549" t="s">
        <v>612</v>
      </c>
      <c r="D44" s="549"/>
      <c r="E44" s="549"/>
      <c r="F44" s="549"/>
      <c r="G44" s="564">
        <v>100000</v>
      </c>
      <c r="H44" s="550"/>
    </row>
    <row r="45" spans="1:8" ht="14.1" customHeight="1">
      <c r="A45" s="556" t="s">
        <v>1479</v>
      </c>
      <c r="B45" s="558"/>
      <c r="C45" s="558"/>
      <c r="D45" s="558"/>
      <c r="E45" s="558"/>
      <c r="F45" s="558"/>
      <c r="G45" s="558"/>
      <c r="H45" s="559"/>
    </row>
    <row r="46" spans="1:8" ht="14.1" customHeight="1">
      <c r="A46" s="556">
        <f>B40</f>
        <v>4012</v>
      </c>
      <c r="B46" s="558" t="str">
        <f>C40</f>
        <v>Fournisseurs étrangers</v>
      </c>
      <c r="C46" s="558"/>
      <c r="D46" s="558">
        <f>D38</f>
        <v>520</v>
      </c>
      <c r="E46" s="558" t="str">
        <f>E38</f>
        <v>Banques cpte en monnaie nationale</v>
      </c>
      <c r="F46" s="558"/>
      <c r="G46" s="558"/>
      <c r="H46" s="559">
        <f>H40</f>
        <v>32500000</v>
      </c>
    </row>
    <row r="47" spans="1:8" ht="14.1" customHeight="1">
      <c r="A47" s="556">
        <f>A46</f>
        <v>4012</v>
      </c>
      <c r="B47" s="558" t="str">
        <f>B46</f>
        <v>Fournisseurs étrangers</v>
      </c>
      <c r="C47" s="558"/>
      <c r="D47" s="558">
        <f>B41</f>
        <v>4091</v>
      </c>
      <c r="E47" s="558" t="str">
        <f>C41</f>
        <v xml:space="preserve">Fournisseurs avances et acomptes versés </v>
      </c>
      <c r="F47" s="558"/>
      <c r="G47" s="558"/>
      <c r="H47" s="559">
        <f>H41</f>
        <v>32500000</v>
      </c>
    </row>
    <row r="48" spans="1:8" ht="14.1" customHeight="1">
      <c r="A48" s="547"/>
      <c r="B48" s="549"/>
      <c r="C48" s="549"/>
      <c r="D48" s="549"/>
      <c r="E48" s="549"/>
      <c r="F48" s="549"/>
      <c r="G48" s="549"/>
      <c r="H48" s="550"/>
    </row>
    <row r="49" spans="1:8" ht="14.1" customHeight="1">
      <c r="A49" s="1246" t="s">
        <v>613</v>
      </c>
      <c r="B49" s="1247"/>
      <c r="C49" s="549"/>
      <c r="D49" s="549"/>
      <c r="E49" s="549"/>
      <c r="F49" s="549"/>
      <c r="G49" s="549"/>
      <c r="H49" s="550"/>
    </row>
    <row r="50" spans="1:8" ht="14.1" customHeight="1">
      <c r="A50" s="547"/>
      <c r="B50" s="549"/>
      <c r="C50" s="549" t="s">
        <v>614</v>
      </c>
      <c r="D50" s="549"/>
      <c r="E50" s="555">
        <v>649</v>
      </c>
      <c r="F50" s="549"/>
      <c r="G50" s="549"/>
      <c r="H50" s="550"/>
    </row>
    <row r="51" spans="1:8" ht="14.1" customHeight="1">
      <c r="A51" s="547">
        <v>4012</v>
      </c>
      <c r="B51" s="549" t="s">
        <v>495</v>
      </c>
      <c r="C51" s="549"/>
      <c r="D51" s="549"/>
      <c r="E51" s="549"/>
      <c r="F51" s="549"/>
      <c r="G51" s="549">
        <f>H40</f>
        <v>32500000</v>
      </c>
      <c r="H51" s="550"/>
    </row>
    <row r="52" spans="1:8" ht="14.1" customHeight="1">
      <c r="A52" s="547"/>
      <c r="B52" s="549">
        <v>520</v>
      </c>
      <c r="C52" s="549" t="s">
        <v>170</v>
      </c>
      <c r="D52" s="549"/>
      <c r="E52" s="549"/>
      <c r="F52" s="549"/>
      <c r="G52" s="549"/>
      <c r="H52" s="550">
        <f>G44*E50-H41</f>
        <v>32400000</v>
      </c>
    </row>
    <row r="53" spans="1:8" ht="14.1" customHeight="1">
      <c r="A53" s="547"/>
      <c r="B53" s="549">
        <v>776</v>
      </c>
      <c r="C53" s="549" t="s">
        <v>615</v>
      </c>
      <c r="D53" s="549"/>
      <c r="E53" s="549"/>
      <c r="F53" s="549"/>
      <c r="G53" s="549"/>
      <c r="H53" s="550">
        <f>G51-H52</f>
        <v>100000</v>
      </c>
    </row>
    <row r="54" spans="1:8" ht="14.1" customHeight="1">
      <c r="A54" s="556" t="s">
        <v>1479</v>
      </c>
      <c r="B54" s="558"/>
      <c r="C54" s="558"/>
      <c r="D54" s="558"/>
      <c r="E54" s="558"/>
      <c r="F54" s="558"/>
      <c r="G54" s="558"/>
      <c r="H54" s="559"/>
    </row>
    <row r="55" spans="1:8" ht="14.1" customHeight="1">
      <c r="A55" s="556">
        <f>A51</f>
        <v>4012</v>
      </c>
      <c r="B55" s="558" t="str">
        <f>B51</f>
        <v xml:space="preserve">Fournisseurs étrangers </v>
      </c>
      <c r="C55" s="558"/>
      <c r="D55" s="558">
        <f>B52</f>
        <v>520</v>
      </c>
      <c r="E55" s="558" t="str">
        <f>C52</f>
        <v>Banques cpte en monnaie nationale</v>
      </c>
      <c r="F55" s="558"/>
      <c r="G55" s="558"/>
      <c r="H55" s="559">
        <f>H52</f>
        <v>32400000</v>
      </c>
    </row>
    <row r="56" spans="1:8" ht="14.1" customHeight="1">
      <c r="A56" s="556">
        <f>A55</f>
        <v>4012</v>
      </c>
      <c r="B56" s="558" t="str">
        <f>B55</f>
        <v xml:space="preserve">Fournisseurs étrangers </v>
      </c>
      <c r="C56" s="558"/>
      <c r="D56" s="558">
        <f>B53</f>
        <v>776</v>
      </c>
      <c r="E56" s="558" t="str">
        <f>C53</f>
        <v>Gain de change</v>
      </c>
      <c r="F56" s="558"/>
      <c r="G56" s="558"/>
      <c r="H56" s="559">
        <f>H53</f>
        <v>100000</v>
      </c>
    </row>
    <row r="57" spans="1:8" ht="14.1" customHeight="1">
      <c r="A57" s="547"/>
      <c r="B57" s="549"/>
      <c r="C57" s="549"/>
      <c r="D57" s="549"/>
      <c r="E57" s="549"/>
      <c r="F57" s="549"/>
      <c r="G57" s="549"/>
      <c r="H57" s="550"/>
    </row>
    <row r="58" spans="1:8" ht="14.1" customHeight="1">
      <c r="A58" s="1246" t="s">
        <v>616</v>
      </c>
      <c r="B58" s="1247"/>
      <c r="C58" s="549"/>
      <c r="D58" s="549"/>
      <c r="E58" s="549"/>
      <c r="F58" s="549"/>
      <c r="G58" s="549"/>
      <c r="H58" s="550"/>
    </row>
    <row r="59" spans="1:8" ht="14.1" customHeight="1">
      <c r="A59" s="547"/>
      <c r="B59" s="549"/>
      <c r="C59" s="549" t="s">
        <v>611</v>
      </c>
      <c r="D59" s="549"/>
      <c r="E59" s="555">
        <v>652</v>
      </c>
      <c r="F59" s="549"/>
      <c r="G59" s="549"/>
      <c r="H59" s="550"/>
    </row>
    <row r="60" spans="1:8" ht="14.1" customHeight="1">
      <c r="A60" s="547">
        <v>4012</v>
      </c>
      <c r="B60" s="549" t="s">
        <v>495</v>
      </c>
      <c r="C60" s="549"/>
      <c r="D60" s="549"/>
      <c r="E60" s="549"/>
      <c r="F60" s="549"/>
      <c r="G60" s="549">
        <f>H40</f>
        <v>32500000</v>
      </c>
      <c r="H60" s="550"/>
    </row>
    <row r="61" spans="1:8" ht="14.1" customHeight="1">
      <c r="A61" s="547">
        <v>6760</v>
      </c>
      <c r="B61" s="549" t="s">
        <v>621</v>
      </c>
      <c r="C61" s="549"/>
      <c r="D61" s="549"/>
      <c r="E61" s="549"/>
      <c r="F61" s="549"/>
      <c r="G61" s="549">
        <f>H62-G60</f>
        <v>200000</v>
      </c>
      <c r="H61" s="550"/>
    </row>
    <row r="62" spans="1:8" ht="14.1" customHeight="1">
      <c r="A62" s="547"/>
      <c r="B62" s="549">
        <v>520</v>
      </c>
      <c r="C62" s="549" t="s">
        <v>170</v>
      </c>
      <c r="D62" s="549"/>
      <c r="E62" s="549"/>
      <c r="F62" s="549"/>
      <c r="G62" s="549"/>
      <c r="H62" s="550">
        <f>G44*E59-H41</f>
        <v>32700000</v>
      </c>
    </row>
    <row r="63" spans="1:8" ht="14.1" customHeight="1">
      <c r="A63" s="556" t="s">
        <v>1479</v>
      </c>
      <c r="B63" s="558"/>
      <c r="C63" s="558"/>
      <c r="D63" s="558"/>
      <c r="E63" s="558"/>
      <c r="F63" s="558"/>
      <c r="G63" s="558"/>
      <c r="H63" s="559"/>
    </row>
    <row r="64" spans="1:8" ht="14.1" customHeight="1">
      <c r="A64" s="556">
        <f>A60</f>
        <v>4012</v>
      </c>
      <c r="B64" s="558" t="str">
        <f>B60</f>
        <v xml:space="preserve">Fournisseurs étrangers </v>
      </c>
      <c r="C64" s="558"/>
      <c r="D64" s="558">
        <f>B62</f>
        <v>520</v>
      </c>
      <c r="E64" s="558" t="str">
        <f>C62</f>
        <v>Banques cpte en monnaie nationale</v>
      </c>
      <c r="F64" s="558"/>
      <c r="G64" s="558"/>
      <c r="H64" s="559">
        <f>H62</f>
        <v>32700000</v>
      </c>
    </row>
    <row r="65" spans="1:8" ht="14.1" customHeight="1">
      <c r="A65" s="561">
        <f>A61</f>
        <v>6760</v>
      </c>
      <c r="B65" s="562" t="str">
        <f>B61</f>
        <v>perte de change</v>
      </c>
      <c r="C65" s="562"/>
      <c r="D65" s="562">
        <f>B62</f>
        <v>520</v>
      </c>
      <c r="E65" s="562" t="str">
        <f>C62</f>
        <v>Banques cpte en monnaie nationale</v>
      </c>
      <c r="F65" s="562"/>
      <c r="G65" s="562"/>
      <c r="H65" s="563">
        <f>G61</f>
        <v>200000</v>
      </c>
    </row>
    <row r="67" spans="1:8" ht="14.1" customHeight="1" thickBot="1">
      <c r="A67" s="1248" t="s">
        <v>1577</v>
      </c>
      <c r="B67" s="1249"/>
      <c r="C67" s="1249"/>
      <c r="D67"/>
      <c r="E67"/>
      <c r="F67"/>
      <c r="G67"/>
      <c r="H67"/>
    </row>
    <row r="68" spans="1:8" ht="14.1" customHeight="1">
      <c r="A68" s="1250" t="s">
        <v>610</v>
      </c>
      <c r="B68" s="1251"/>
      <c r="C68" s="1198"/>
      <c r="D68" s="1198" t="s">
        <v>1578</v>
      </c>
      <c r="E68" s="1198"/>
      <c r="F68" s="1198"/>
      <c r="G68" s="1198"/>
      <c r="H68" s="1199"/>
    </row>
    <row r="69" spans="1:8" ht="14.1" customHeight="1">
      <c r="A69" s="1189"/>
      <c r="B69" s="548">
        <v>4012</v>
      </c>
      <c r="C69" s="548" t="s">
        <v>277</v>
      </c>
      <c r="D69" s="549"/>
      <c r="E69" s="549"/>
      <c r="F69" s="549"/>
      <c r="G69" s="549"/>
      <c r="H69" s="1190">
        <v>65000</v>
      </c>
    </row>
    <row r="70" spans="1:8" ht="14.1" customHeight="1">
      <c r="A70" s="1200">
        <v>6013</v>
      </c>
      <c r="B70" s="552" t="s">
        <v>356</v>
      </c>
      <c r="C70" s="549"/>
      <c r="D70" s="549"/>
      <c r="E70" s="549"/>
      <c r="F70" s="549"/>
      <c r="G70" s="549">
        <v>65000</v>
      </c>
      <c r="H70" s="1190"/>
    </row>
    <row r="71" spans="1:8" ht="14.1" customHeight="1">
      <c r="A71" s="1189"/>
      <c r="B71" s="549"/>
      <c r="C71" s="549" t="s">
        <v>611</v>
      </c>
      <c r="D71" s="549"/>
      <c r="E71" s="555">
        <v>650</v>
      </c>
      <c r="F71" s="549"/>
      <c r="G71" s="549"/>
      <c r="H71" s="1190"/>
    </row>
    <row r="72" spans="1:8" ht="14.1" customHeight="1">
      <c r="A72" s="1189"/>
      <c r="B72" s="549"/>
      <c r="C72" s="549" t="s">
        <v>612</v>
      </c>
      <c r="D72" s="549"/>
      <c r="E72" s="549"/>
      <c r="F72" s="549"/>
      <c r="G72" s="555">
        <v>1000</v>
      </c>
      <c r="H72" s="1190"/>
    </row>
    <row r="73" spans="1:8" ht="14.1" customHeight="1">
      <c r="A73" s="1187" t="s">
        <v>1111</v>
      </c>
      <c r="B73" s="557"/>
      <c r="C73" s="557"/>
      <c r="D73" s="558"/>
      <c r="E73" s="558"/>
      <c r="F73" s="558"/>
      <c r="G73" s="558"/>
      <c r="H73" s="1188"/>
    </row>
    <row r="74" spans="1:8" ht="14.1" customHeight="1">
      <c r="A74" s="1187">
        <v>6013</v>
      </c>
      <c r="B74" s="558" t="s">
        <v>356</v>
      </c>
      <c r="C74" s="558"/>
      <c r="D74" s="558">
        <v>4012</v>
      </c>
      <c r="E74" s="558" t="s">
        <v>277</v>
      </c>
      <c r="F74" s="558"/>
      <c r="G74" s="558"/>
      <c r="H74" s="1188">
        <v>65000</v>
      </c>
    </row>
    <row r="75" spans="1:8" ht="14.1" customHeight="1">
      <c r="A75" s="1201"/>
      <c r="B75" s="1202"/>
      <c r="C75" s="1202"/>
      <c r="D75" s="549" t="s">
        <v>1579</v>
      </c>
      <c r="E75" s="1202"/>
      <c r="F75" s="1202"/>
      <c r="G75" s="1202"/>
      <c r="H75" s="1203"/>
    </row>
    <row r="76" spans="1:8" ht="14.1" customHeight="1">
      <c r="A76" s="1201"/>
      <c r="B76" s="1202"/>
      <c r="C76" s="549" t="s">
        <v>611</v>
      </c>
      <c r="D76" s="549"/>
      <c r="E76" s="555">
        <v>660</v>
      </c>
      <c r="F76" s="1202"/>
      <c r="G76" s="1202"/>
      <c r="H76" s="1203"/>
    </row>
    <row r="77" spans="1:8" ht="14.1" customHeight="1">
      <c r="A77" s="1189">
        <v>478</v>
      </c>
      <c r="B77" s="549" t="s">
        <v>1580</v>
      </c>
      <c r="C77" s="1202"/>
      <c r="D77" s="1202"/>
      <c r="E77" s="1202"/>
      <c r="F77" s="1202"/>
      <c r="G77" s="549">
        <v>1000</v>
      </c>
      <c r="H77" s="1203"/>
    </row>
    <row r="78" spans="1:8" ht="14.1" customHeight="1">
      <c r="A78" s="1201"/>
      <c r="B78" s="1202"/>
      <c r="C78" s="1202"/>
      <c r="D78" s="549">
        <v>4012</v>
      </c>
      <c r="E78" s="549" t="s">
        <v>277</v>
      </c>
      <c r="F78" s="1202"/>
      <c r="G78" s="1202"/>
      <c r="H78" s="1190">
        <v>1000</v>
      </c>
    </row>
    <row r="79" spans="1:8" ht="14.1" customHeight="1">
      <c r="A79" s="1181">
        <v>6970</v>
      </c>
      <c r="B79" s="1182" t="s">
        <v>1581</v>
      </c>
      <c r="C79" s="1182"/>
      <c r="D79" s="1182"/>
      <c r="E79" s="1182"/>
      <c r="F79" s="1182"/>
      <c r="G79" s="1182">
        <v>1000</v>
      </c>
      <c r="H79" s="1183"/>
    </row>
    <row r="80" spans="1:8" ht="14.1" customHeight="1">
      <c r="A80" s="1181"/>
      <c r="B80" s="1184">
        <v>194</v>
      </c>
      <c r="C80" s="1182" t="s">
        <v>1582</v>
      </c>
      <c r="D80" s="1185"/>
      <c r="E80" s="1185"/>
      <c r="F80" s="1185"/>
      <c r="G80" s="1185"/>
      <c r="H80" s="1186">
        <v>1000</v>
      </c>
    </row>
    <row r="81" spans="1:8" ht="14.1" customHeight="1">
      <c r="A81" s="1187" t="s">
        <v>1583</v>
      </c>
      <c r="B81" s="558"/>
      <c r="C81" s="558"/>
      <c r="D81" s="558"/>
      <c r="E81" s="558"/>
      <c r="F81" s="558"/>
      <c r="G81" s="558"/>
      <c r="H81" s="1188"/>
    </row>
    <row r="82" spans="1:8" ht="14.1" customHeight="1">
      <c r="A82" s="1187">
        <v>478</v>
      </c>
      <c r="B82" s="1187" t="s">
        <v>1580</v>
      </c>
      <c r="C82" s="558"/>
      <c r="D82" s="558">
        <v>4012</v>
      </c>
      <c r="E82" s="558" t="s">
        <v>277</v>
      </c>
      <c r="F82" s="558"/>
      <c r="G82" s="558">
        <v>1000</v>
      </c>
      <c r="H82" s="1188"/>
    </row>
    <row r="83" spans="1:8" ht="14.1" customHeight="1">
      <c r="A83" s="1187">
        <v>6970</v>
      </c>
      <c r="B83" s="558" t="s">
        <v>1581</v>
      </c>
      <c r="C83" s="558"/>
      <c r="D83" s="558">
        <v>194</v>
      </c>
      <c r="E83" s="558" t="s">
        <v>1582</v>
      </c>
      <c r="F83" s="558"/>
      <c r="G83" s="558">
        <v>1000</v>
      </c>
      <c r="H83" s="1188"/>
    </row>
    <row r="84" spans="1:8" ht="14.1" customHeight="1">
      <c r="A84" s="1201"/>
      <c r="B84" s="1202"/>
      <c r="C84" s="1202"/>
      <c r="D84" s="1202"/>
      <c r="E84" s="1202"/>
      <c r="F84" s="1202"/>
      <c r="G84" s="1202"/>
      <c r="H84" s="1203"/>
    </row>
    <row r="85" spans="1:8" ht="14.1" customHeight="1">
      <c r="A85" s="1252" t="s">
        <v>1584</v>
      </c>
      <c r="B85" s="1247"/>
      <c r="C85" s="549"/>
      <c r="D85" s="549"/>
      <c r="E85" s="549"/>
      <c r="F85" s="549"/>
      <c r="G85" s="549"/>
      <c r="H85" s="1190"/>
    </row>
    <row r="86" spans="1:8" ht="14.1" customHeight="1">
      <c r="A86" s="1189"/>
      <c r="B86" s="549"/>
      <c r="C86" s="549" t="s">
        <v>614</v>
      </c>
      <c r="D86" s="549"/>
      <c r="E86" s="555">
        <v>649</v>
      </c>
      <c r="F86" s="549"/>
      <c r="G86" s="549"/>
      <c r="H86" s="1190"/>
    </row>
    <row r="87" spans="1:8" ht="14.1" customHeight="1">
      <c r="A87" s="1191">
        <v>4012</v>
      </c>
      <c r="B87" s="1191" t="s">
        <v>277</v>
      </c>
      <c r="C87" s="549"/>
      <c r="D87" s="549"/>
      <c r="E87" s="549"/>
      <c r="F87" s="549"/>
      <c r="G87" s="549">
        <v>100</v>
      </c>
      <c r="H87" s="1190"/>
    </row>
    <row r="88" spans="1:8" ht="14.1" customHeight="1">
      <c r="A88" s="1189"/>
      <c r="B88" s="549"/>
      <c r="C88" s="549"/>
      <c r="D88" s="549">
        <v>479</v>
      </c>
      <c r="E88" s="549" t="s">
        <v>1585</v>
      </c>
      <c r="F88" s="549"/>
      <c r="G88" s="549"/>
      <c r="H88" s="1190">
        <v>100</v>
      </c>
    </row>
    <row r="89" spans="1:8" ht="14.1" customHeight="1">
      <c r="A89" s="1187" t="s">
        <v>1583</v>
      </c>
      <c r="B89" s="558"/>
      <c r="C89" s="558"/>
      <c r="D89" s="558"/>
      <c r="E89" s="558"/>
      <c r="F89" s="558"/>
      <c r="G89" s="558"/>
      <c r="H89" s="1188"/>
    </row>
    <row r="90" spans="1:8" ht="14.1" customHeight="1">
      <c r="A90" s="1187">
        <v>4012</v>
      </c>
      <c r="B90" s="558" t="s">
        <v>277</v>
      </c>
      <c r="C90" s="558"/>
      <c r="D90" s="558">
        <v>479</v>
      </c>
      <c r="E90" s="558" t="s">
        <v>1585</v>
      </c>
      <c r="F90" s="558"/>
      <c r="G90" s="558">
        <v>100</v>
      </c>
      <c r="H90" s="1188"/>
    </row>
    <row r="91" spans="1:8" ht="14.1" customHeight="1">
      <c r="A91" s="1201"/>
      <c r="B91" s="1202"/>
      <c r="C91" s="1202"/>
      <c r="D91" s="1202"/>
      <c r="E91" s="1202"/>
      <c r="F91" s="1202"/>
      <c r="G91" s="1202"/>
      <c r="H91" s="1203"/>
    </row>
    <row r="92" spans="1:8" ht="14.1" customHeight="1">
      <c r="A92" s="1252" t="s">
        <v>1586</v>
      </c>
      <c r="B92" s="1247"/>
      <c r="C92" s="549"/>
      <c r="D92" s="549" t="s">
        <v>1587</v>
      </c>
      <c r="E92" s="549"/>
      <c r="F92" s="549"/>
      <c r="G92" s="549"/>
      <c r="H92" s="1190"/>
    </row>
    <row r="93" spans="1:8" ht="14.1" customHeight="1">
      <c r="A93" s="1189"/>
      <c r="B93" s="549"/>
      <c r="C93" s="549" t="s">
        <v>614</v>
      </c>
      <c r="D93" s="555">
        <v>655</v>
      </c>
      <c r="E93" s="549"/>
      <c r="F93" s="549"/>
      <c r="G93" s="549"/>
      <c r="H93" s="1190"/>
    </row>
    <row r="94" spans="1:8" ht="14.1" customHeight="1">
      <c r="A94" s="1189">
        <v>194</v>
      </c>
      <c r="B94" s="549" t="s">
        <v>1582</v>
      </c>
      <c r="C94" s="549"/>
      <c r="D94" s="549"/>
      <c r="E94" s="549"/>
      <c r="F94" s="549"/>
      <c r="G94" s="549">
        <v>1000</v>
      </c>
      <c r="H94" s="1190"/>
    </row>
    <row r="95" spans="1:8" ht="14.1" customHeight="1">
      <c r="A95" s="1189"/>
      <c r="B95" s="549"/>
      <c r="C95" s="549"/>
      <c r="D95" s="549">
        <v>849</v>
      </c>
      <c r="E95" s="549" t="s">
        <v>1588</v>
      </c>
      <c r="F95" s="549"/>
      <c r="G95" s="549"/>
      <c r="H95" s="1190">
        <v>1000</v>
      </c>
    </row>
    <row r="96" spans="1:8" ht="14.1" customHeight="1">
      <c r="A96" s="1191">
        <v>4012</v>
      </c>
      <c r="B96" s="567" t="s">
        <v>277</v>
      </c>
      <c r="C96" s="549"/>
      <c r="D96" s="549"/>
      <c r="E96" s="549"/>
      <c r="F96" s="549"/>
      <c r="G96" s="549">
        <v>65000</v>
      </c>
      <c r="H96" s="1190"/>
    </row>
    <row r="97" spans="1:8" ht="14.1" customHeight="1">
      <c r="A97" s="1189"/>
      <c r="B97" s="549"/>
      <c r="C97" s="549"/>
      <c r="D97" s="549">
        <v>520</v>
      </c>
      <c r="E97" s="549" t="s">
        <v>585</v>
      </c>
      <c r="F97" s="549"/>
      <c r="G97" s="549"/>
      <c r="H97" s="1190">
        <v>65500</v>
      </c>
    </row>
    <row r="98" spans="1:8" ht="14.1" customHeight="1">
      <c r="A98" s="1189"/>
      <c r="B98" s="549"/>
      <c r="C98" s="549"/>
      <c r="D98" s="549">
        <v>6760</v>
      </c>
      <c r="E98" s="549" t="s">
        <v>1589</v>
      </c>
      <c r="F98" s="549"/>
      <c r="G98" s="549"/>
      <c r="H98" s="1190">
        <v>500</v>
      </c>
    </row>
    <row r="99" spans="1:8" ht="14.1" customHeight="1">
      <c r="A99" s="1187" t="s">
        <v>1583</v>
      </c>
      <c r="B99" s="558"/>
      <c r="C99" s="558"/>
      <c r="D99" s="558"/>
      <c r="E99" s="558"/>
      <c r="F99" s="558"/>
      <c r="G99" s="558"/>
      <c r="H99" s="1188"/>
    </row>
    <row r="100" spans="1:8" ht="14.1" customHeight="1">
      <c r="A100" s="1187">
        <v>194</v>
      </c>
      <c r="B100" s="558" t="s">
        <v>1582</v>
      </c>
      <c r="C100" s="558"/>
      <c r="D100" s="558">
        <v>849</v>
      </c>
      <c r="E100" s="558" t="s">
        <v>1588</v>
      </c>
      <c r="F100" s="558"/>
      <c r="G100" s="558">
        <v>1000</v>
      </c>
      <c r="H100" s="1188"/>
    </row>
    <row r="101" spans="1:8" ht="14.1" customHeight="1">
      <c r="A101" s="1187">
        <v>4012</v>
      </c>
      <c r="B101" s="558" t="s">
        <v>277</v>
      </c>
      <c r="C101" s="558"/>
      <c r="D101" s="558">
        <v>520</v>
      </c>
      <c r="E101" s="558" t="s">
        <v>585</v>
      </c>
      <c r="F101" s="558"/>
      <c r="G101" s="558">
        <v>65500</v>
      </c>
      <c r="H101" s="1188"/>
    </row>
    <row r="102" spans="1:8" ht="14.1" customHeight="1">
      <c r="A102" s="1187">
        <v>4012</v>
      </c>
      <c r="B102" s="558" t="s">
        <v>277</v>
      </c>
      <c r="C102" s="558"/>
      <c r="D102" s="558">
        <v>6760</v>
      </c>
      <c r="E102" s="558" t="s">
        <v>1589</v>
      </c>
      <c r="F102" s="558"/>
      <c r="G102" s="558"/>
      <c r="H102" s="1188">
        <v>500</v>
      </c>
    </row>
    <row r="103" spans="1:8" ht="14.1" customHeight="1">
      <c r="A103" s="1189"/>
      <c r="B103" s="549"/>
      <c r="C103" s="549"/>
      <c r="D103" s="549"/>
      <c r="E103" s="549"/>
      <c r="F103" s="549"/>
      <c r="G103" s="549"/>
      <c r="H103" s="1190"/>
    </row>
    <row r="104" spans="1:8" ht="14.1" customHeight="1">
      <c r="A104" s="1252" t="s">
        <v>613</v>
      </c>
      <c r="B104" s="1247"/>
      <c r="C104" s="549"/>
      <c r="D104" s="549"/>
      <c r="E104" s="549"/>
      <c r="F104" s="549"/>
      <c r="G104" s="549"/>
      <c r="H104" s="1190"/>
    </row>
    <row r="105" spans="1:8" ht="14.1" customHeight="1">
      <c r="A105" s="1189"/>
      <c r="B105" s="549"/>
      <c r="C105" s="549" t="s">
        <v>614</v>
      </c>
      <c r="D105" s="549"/>
      <c r="E105" s="555">
        <v>640</v>
      </c>
      <c r="F105" s="549"/>
      <c r="G105" s="549"/>
      <c r="H105" s="1190"/>
    </row>
    <row r="106" spans="1:8" ht="14.1" customHeight="1">
      <c r="A106" s="1189">
        <v>4012</v>
      </c>
      <c r="B106" s="549" t="s">
        <v>277</v>
      </c>
      <c r="C106" s="549"/>
      <c r="D106" s="549"/>
      <c r="E106" s="549"/>
      <c r="F106" s="549"/>
      <c r="G106" s="549">
        <v>65000</v>
      </c>
      <c r="H106" s="1190"/>
    </row>
    <row r="107" spans="1:8" ht="14.1" customHeight="1">
      <c r="A107" s="1189"/>
      <c r="B107" s="549"/>
      <c r="C107" s="549"/>
      <c r="D107" s="549">
        <v>520</v>
      </c>
      <c r="E107" s="549" t="s">
        <v>585</v>
      </c>
      <c r="F107" s="549"/>
      <c r="G107" s="549">
        <v>64000</v>
      </c>
      <c r="H107" s="1190"/>
    </row>
    <row r="108" spans="1:8" ht="14.1" customHeight="1">
      <c r="A108" s="1189"/>
      <c r="B108" s="549"/>
      <c r="C108" s="549" t="s">
        <v>327</v>
      </c>
      <c r="D108" s="549">
        <v>776</v>
      </c>
      <c r="E108" s="549" t="s">
        <v>615</v>
      </c>
      <c r="F108" s="549"/>
      <c r="G108" s="549"/>
      <c r="H108" s="1190">
        <v>1000</v>
      </c>
    </row>
    <row r="109" spans="1:8" ht="14.1" customHeight="1">
      <c r="A109" s="1187" t="s">
        <v>1479</v>
      </c>
      <c r="B109" s="558"/>
      <c r="C109" s="558"/>
      <c r="D109" s="558"/>
      <c r="E109" s="558"/>
      <c r="F109" s="558"/>
      <c r="G109" s="558"/>
      <c r="H109" s="1188"/>
    </row>
    <row r="110" spans="1:8" ht="14.1" customHeight="1">
      <c r="A110" s="1187">
        <v>4012</v>
      </c>
      <c r="B110" s="558" t="s">
        <v>277</v>
      </c>
      <c r="C110" s="558"/>
      <c r="D110" s="558">
        <v>776</v>
      </c>
      <c r="E110" s="558" t="s">
        <v>327</v>
      </c>
      <c r="F110" s="558"/>
      <c r="G110" s="558"/>
      <c r="H110" s="1188">
        <v>1000</v>
      </c>
    </row>
    <row r="111" spans="1:8" ht="14.1" customHeight="1">
      <c r="A111" s="1192">
        <v>6760</v>
      </c>
      <c r="B111" s="562">
        <v>520</v>
      </c>
      <c r="C111" s="562"/>
      <c r="D111" s="562">
        <v>776</v>
      </c>
      <c r="E111" s="562" t="s">
        <v>327</v>
      </c>
      <c r="F111" s="562"/>
      <c r="G111" s="562"/>
      <c r="H111" s="1193">
        <v>64000</v>
      </c>
    </row>
    <row r="112" spans="1:8" ht="14.1" customHeight="1">
      <c r="A112" s="1189">
        <v>479</v>
      </c>
      <c r="B112" s="1189" t="s">
        <v>1585</v>
      </c>
      <c r="C112" s="549"/>
      <c r="D112" s="549"/>
      <c r="E112" s="549"/>
      <c r="F112" s="549"/>
      <c r="G112" s="549">
        <v>100</v>
      </c>
      <c r="H112" s="1190"/>
    </row>
    <row r="113" spans="1:8" ht="14.1" customHeight="1">
      <c r="A113" s="1189"/>
      <c r="B113" s="549"/>
      <c r="C113" s="549"/>
      <c r="D113" s="549">
        <v>4012</v>
      </c>
      <c r="E113" s="549" t="s">
        <v>277</v>
      </c>
      <c r="F113" s="549"/>
      <c r="G113" s="549"/>
      <c r="H113" s="1190">
        <v>100</v>
      </c>
    </row>
    <row r="114" spans="1:8" ht="14.1" customHeight="1">
      <c r="A114" s="1187" t="s">
        <v>1583</v>
      </c>
      <c r="B114" s="558"/>
      <c r="C114" s="558"/>
      <c r="D114" s="558"/>
      <c r="E114" s="558"/>
      <c r="F114" s="558"/>
      <c r="G114" s="558"/>
      <c r="H114" s="1188"/>
    </row>
    <row r="115" spans="1:8" ht="14.1" customHeight="1" thickBot="1">
      <c r="A115" s="1194">
        <v>479</v>
      </c>
      <c r="B115" s="1195" t="s">
        <v>1585</v>
      </c>
      <c r="C115" s="1195"/>
      <c r="D115" s="1195">
        <v>4012</v>
      </c>
      <c r="E115" s="1195" t="s">
        <v>277</v>
      </c>
      <c r="F115" s="1195"/>
      <c r="G115" s="1195">
        <v>100</v>
      </c>
      <c r="H115" s="1196"/>
    </row>
    <row r="117" spans="1:8" ht="14.1" customHeight="1">
      <c r="A117" s="1248" t="s">
        <v>622</v>
      </c>
      <c r="B117" s="1248"/>
      <c r="C117" s="1248"/>
    </row>
    <row r="118" spans="1:8" ht="14.1" customHeight="1">
      <c r="A118" s="544"/>
      <c r="B118" s="545"/>
      <c r="C118" s="545"/>
      <c r="D118" s="545"/>
      <c r="E118" s="545"/>
      <c r="F118" s="545"/>
      <c r="G118" s="545"/>
      <c r="H118" s="546"/>
    </row>
    <row r="119" spans="1:8" ht="14.1" customHeight="1">
      <c r="A119" s="1246" t="s">
        <v>610</v>
      </c>
      <c r="B119" s="1247"/>
      <c r="C119" s="549"/>
      <c r="D119" s="549"/>
      <c r="E119" s="549"/>
      <c r="F119" s="549"/>
      <c r="G119" s="549"/>
      <c r="H119" s="550"/>
    </row>
    <row r="120" spans="1:8" ht="14.1" customHeight="1">
      <c r="A120" s="551">
        <v>4115</v>
      </c>
      <c r="B120" s="552" t="s">
        <v>327</v>
      </c>
      <c r="C120" s="549"/>
      <c r="D120" s="549"/>
      <c r="E120" s="549"/>
      <c r="F120" s="549"/>
      <c r="G120" s="549">
        <f>G123*E122</f>
        <v>97500000</v>
      </c>
      <c r="H120" s="550"/>
    </row>
    <row r="121" spans="1:8" ht="14.1" customHeight="1">
      <c r="A121" s="547"/>
      <c r="B121" s="548">
        <v>7022</v>
      </c>
      <c r="C121" s="548" t="s">
        <v>572</v>
      </c>
      <c r="D121" s="549"/>
      <c r="E121" s="549"/>
      <c r="F121" s="549"/>
      <c r="G121" s="549"/>
      <c r="H121" s="550">
        <f>G120</f>
        <v>97500000</v>
      </c>
    </row>
    <row r="122" spans="1:8" ht="14.1" customHeight="1">
      <c r="A122" s="547"/>
      <c r="B122" s="549"/>
      <c r="C122" s="549" t="s">
        <v>623</v>
      </c>
      <c r="D122" s="549"/>
      <c r="E122" s="555">
        <v>650</v>
      </c>
      <c r="F122" s="549"/>
      <c r="G122" s="549"/>
      <c r="H122" s="550"/>
    </row>
    <row r="123" spans="1:8" ht="14.1" customHeight="1">
      <c r="A123" s="547"/>
      <c r="B123" s="549"/>
      <c r="C123" s="549" t="s">
        <v>624</v>
      </c>
      <c r="D123" s="549"/>
      <c r="E123" s="549"/>
      <c r="F123" s="549"/>
      <c r="G123" s="555">
        <v>150000</v>
      </c>
      <c r="H123" s="550"/>
    </row>
    <row r="124" spans="1:8" ht="14.1" customHeight="1">
      <c r="A124" s="556" t="s">
        <v>1111</v>
      </c>
      <c r="B124" s="557"/>
      <c r="C124" s="557"/>
      <c r="D124" s="558"/>
      <c r="E124" s="558"/>
      <c r="F124" s="558"/>
      <c r="G124" s="558"/>
      <c r="H124" s="559"/>
    </row>
    <row r="125" spans="1:8" ht="14.1" customHeight="1">
      <c r="A125" s="556">
        <f>A120</f>
        <v>4115</v>
      </c>
      <c r="B125" s="558" t="str">
        <f>B120</f>
        <v>client et organismes étrangers</v>
      </c>
      <c r="C125" s="558"/>
      <c r="D125" s="558">
        <f>B121</f>
        <v>7022</v>
      </c>
      <c r="E125" s="558" t="str">
        <f>C121</f>
        <v>Ventes Mach  &amp; P fini UEMOA  &amp; RDM à 18.5%</v>
      </c>
      <c r="F125" s="558"/>
      <c r="G125" s="558"/>
      <c r="H125" s="559">
        <f>G120</f>
        <v>97500000</v>
      </c>
    </row>
    <row r="126" spans="1:8" ht="14.1" customHeight="1">
      <c r="A126" s="547"/>
      <c r="B126" s="549"/>
      <c r="C126" s="549"/>
      <c r="D126" s="549"/>
      <c r="E126" s="549"/>
      <c r="F126" s="549"/>
      <c r="G126" s="549"/>
      <c r="H126" s="550"/>
    </row>
    <row r="127" spans="1:8" ht="14.1" customHeight="1">
      <c r="A127" s="547"/>
      <c r="B127" s="549"/>
      <c r="C127" s="549"/>
      <c r="D127" s="549"/>
      <c r="E127" s="549"/>
      <c r="F127" s="549"/>
      <c r="G127" s="549"/>
      <c r="H127" s="550"/>
    </row>
    <row r="128" spans="1:8" ht="14.1" customHeight="1">
      <c r="A128" s="547"/>
      <c r="B128" s="549"/>
      <c r="C128" s="549"/>
      <c r="D128" s="549"/>
      <c r="E128" s="549"/>
      <c r="F128" s="549"/>
      <c r="G128" s="549"/>
      <c r="H128" s="550"/>
    </row>
    <row r="129" spans="1:8" ht="14.1" customHeight="1">
      <c r="A129" s="1246" t="s">
        <v>625</v>
      </c>
      <c r="B129" s="1247"/>
      <c r="C129" s="549"/>
      <c r="D129" s="549"/>
      <c r="E129" s="549"/>
      <c r="F129" s="549"/>
      <c r="G129" s="549"/>
      <c r="H129" s="550"/>
    </row>
    <row r="130" spans="1:8" ht="14.1" customHeight="1">
      <c r="A130" s="547"/>
      <c r="B130" s="549"/>
      <c r="C130" s="549" t="s">
        <v>614</v>
      </c>
      <c r="D130" s="549"/>
      <c r="E130" s="555">
        <v>655</v>
      </c>
      <c r="F130" s="549"/>
      <c r="G130" s="549"/>
      <c r="H130" s="550"/>
    </row>
    <row r="131" spans="1:8" ht="14.1" customHeight="1">
      <c r="A131" s="565">
        <v>520</v>
      </c>
      <c r="B131" s="566" t="s">
        <v>170</v>
      </c>
      <c r="C131" s="549"/>
      <c r="D131" s="549"/>
      <c r="E131" s="549"/>
      <c r="F131" s="549"/>
      <c r="G131" s="549">
        <f>G123*E130</f>
        <v>98250000</v>
      </c>
      <c r="H131" s="550"/>
    </row>
    <row r="132" spans="1:8" ht="14.1" customHeight="1">
      <c r="A132" s="547"/>
      <c r="B132" s="549">
        <v>4115</v>
      </c>
      <c r="C132" s="549" t="s">
        <v>327</v>
      </c>
      <c r="D132" s="549"/>
      <c r="E132" s="549"/>
      <c r="F132" s="549"/>
      <c r="G132" s="549"/>
      <c r="H132" s="550">
        <f>G120</f>
        <v>97500000</v>
      </c>
    </row>
    <row r="133" spans="1:8" ht="14.1" customHeight="1">
      <c r="A133" s="547"/>
      <c r="B133" s="549">
        <v>776</v>
      </c>
      <c r="C133" s="549" t="s">
        <v>626</v>
      </c>
      <c r="D133" s="549"/>
      <c r="E133" s="549"/>
      <c r="F133" s="549"/>
      <c r="G133" s="549"/>
      <c r="H133" s="550">
        <f>G131-H132</f>
        <v>750000</v>
      </c>
    </row>
    <row r="134" spans="1:8" ht="14.1" customHeight="1">
      <c r="A134" s="556" t="s">
        <v>1479</v>
      </c>
      <c r="B134" s="558"/>
      <c r="C134" s="558"/>
      <c r="D134" s="558"/>
      <c r="E134" s="558"/>
      <c r="F134" s="558"/>
      <c r="G134" s="558"/>
      <c r="H134" s="559"/>
    </row>
    <row r="135" spans="1:8" ht="14.1" customHeight="1">
      <c r="A135" s="556">
        <f>A131</f>
        <v>520</v>
      </c>
      <c r="B135" s="558" t="str">
        <f>B131</f>
        <v>Banques cpte en monnaie nationale</v>
      </c>
      <c r="C135" s="558"/>
      <c r="D135" s="558">
        <f>B132</f>
        <v>4115</v>
      </c>
      <c r="E135" s="558" t="str">
        <f>C132</f>
        <v>client et organismes étrangers</v>
      </c>
      <c r="F135" s="558"/>
      <c r="G135" s="558"/>
      <c r="H135" s="559">
        <f>H132</f>
        <v>97500000</v>
      </c>
    </row>
    <row r="136" spans="1:8" ht="14.1" customHeight="1">
      <c r="A136" s="556">
        <f>A135</f>
        <v>520</v>
      </c>
      <c r="B136" s="558" t="str">
        <f>B135</f>
        <v>Banques cpte en monnaie nationale</v>
      </c>
      <c r="C136" s="558"/>
      <c r="D136" s="558">
        <f>B133</f>
        <v>776</v>
      </c>
      <c r="E136" s="558" t="str">
        <f>C133</f>
        <v>gain de change</v>
      </c>
      <c r="F136" s="558"/>
      <c r="G136" s="558"/>
      <c r="H136" s="559">
        <f>H133</f>
        <v>750000</v>
      </c>
    </row>
    <row r="137" spans="1:8" ht="14.1" customHeight="1">
      <c r="A137" s="547"/>
      <c r="B137" s="549"/>
      <c r="C137" s="549"/>
      <c r="D137" s="549"/>
      <c r="E137" s="549"/>
      <c r="F137" s="549"/>
      <c r="G137" s="549"/>
      <c r="H137" s="550"/>
    </row>
    <row r="138" spans="1:8" ht="14.1" customHeight="1">
      <c r="A138" s="547"/>
      <c r="B138" s="549"/>
      <c r="C138" s="549"/>
      <c r="D138" s="549"/>
      <c r="E138" s="549"/>
      <c r="F138" s="549"/>
      <c r="G138" s="549"/>
      <c r="H138" s="550"/>
    </row>
    <row r="139" spans="1:8" ht="14.1" customHeight="1">
      <c r="A139" s="1246" t="s">
        <v>627</v>
      </c>
      <c r="B139" s="1247"/>
      <c r="C139" s="549"/>
      <c r="D139" s="549"/>
      <c r="E139" s="549"/>
      <c r="F139" s="549"/>
      <c r="G139" s="549"/>
      <c r="H139" s="550"/>
    </row>
    <row r="140" spans="1:8" ht="14.1" customHeight="1">
      <c r="A140" s="547"/>
      <c r="B140" s="549"/>
      <c r="C140" s="549" t="s">
        <v>614</v>
      </c>
      <c r="D140" s="549"/>
      <c r="E140" s="555">
        <v>649</v>
      </c>
      <c r="F140" s="549"/>
      <c r="G140" s="549"/>
      <c r="H140" s="550"/>
    </row>
    <row r="141" spans="1:8" ht="14.1" customHeight="1">
      <c r="A141" s="547">
        <v>520</v>
      </c>
      <c r="B141" s="549" t="s">
        <v>170</v>
      </c>
      <c r="C141" s="549"/>
      <c r="D141" s="549"/>
      <c r="E141" s="549"/>
      <c r="F141" s="549"/>
      <c r="G141" s="549">
        <f>G123*E140</f>
        <v>97350000</v>
      </c>
      <c r="H141" s="550"/>
    </row>
    <row r="142" spans="1:8" ht="14.1" customHeight="1">
      <c r="A142" s="547">
        <v>6760</v>
      </c>
      <c r="B142" s="549" t="s">
        <v>621</v>
      </c>
      <c r="C142" s="549"/>
      <c r="D142" s="549"/>
      <c r="E142" s="549"/>
      <c r="F142" s="549"/>
      <c r="G142" s="549">
        <f>H143-G141</f>
        <v>150000</v>
      </c>
      <c r="H142" s="550"/>
    </row>
    <row r="143" spans="1:8" ht="14.1" customHeight="1">
      <c r="A143" s="547"/>
      <c r="B143" s="549">
        <v>4115</v>
      </c>
      <c r="C143" s="549" t="s">
        <v>327</v>
      </c>
      <c r="D143" s="549"/>
      <c r="E143" s="549"/>
      <c r="F143" s="549"/>
      <c r="G143" s="549"/>
      <c r="H143" s="550">
        <f>G120</f>
        <v>97500000</v>
      </c>
    </row>
    <row r="144" spans="1:8" ht="14.1" customHeight="1">
      <c r="A144" s="556" t="s">
        <v>1479</v>
      </c>
      <c r="B144" s="558"/>
      <c r="C144" s="558"/>
      <c r="D144" s="558"/>
      <c r="E144" s="558"/>
      <c r="F144" s="558"/>
      <c r="G144" s="558"/>
      <c r="H144" s="559"/>
    </row>
    <row r="145" spans="1:8" ht="14.1" customHeight="1">
      <c r="A145" s="556">
        <f>A141</f>
        <v>520</v>
      </c>
      <c r="B145" s="558" t="str">
        <f>B141</f>
        <v>Banques cpte en monnaie nationale</v>
      </c>
      <c r="C145" s="558"/>
      <c r="D145" s="558">
        <f>B143</f>
        <v>4115</v>
      </c>
      <c r="E145" s="558" t="str">
        <f>C143</f>
        <v>client et organismes étrangers</v>
      </c>
      <c r="F145" s="558"/>
      <c r="G145" s="558"/>
      <c r="H145" s="559">
        <f>H143</f>
        <v>97500000</v>
      </c>
    </row>
    <row r="146" spans="1:8" ht="14.1" customHeight="1">
      <c r="A146" s="561">
        <f>A142</f>
        <v>6760</v>
      </c>
      <c r="B146" s="562" t="str">
        <f>B142</f>
        <v>perte de change</v>
      </c>
      <c r="C146" s="562"/>
      <c r="D146" s="562">
        <f>B143</f>
        <v>4115</v>
      </c>
      <c r="E146" s="562" t="str">
        <f>C143</f>
        <v>client et organismes étrangers</v>
      </c>
      <c r="F146" s="562"/>
      <c r="G146" s="562"/>
      <c r="H146" s="563">
        <f>G142</f>
        <v>150000</v>
      </c>
    </row>
    <row r="147" spans="1:8" ht="14.1" customHeight="1">
      <c r="A147" s="549"/>
      <c r="B147" s="549"/>
      <c r="C147" s="549"/>
      <c r="D147" s="549"/>
      <c r="E147" s="549"/>
      <c r="F147" s="549"/>
      <c r="G147" s="549"/>
      <c r="H147" s="549"/>
    </row>
    <row r="149" spans="1:8" ht="14.1" customHeight="1">
      <c r="A149" s="1160" t="s">
        <v>628</v>
      </c>
    </row>
    <row r="150" spans="1:8" ht="14.1" customHeight="1">
      <c r="A150" s="1160"/>
    </row>
    <row r="151" spans="1:8" ht="14.1" customHeight="1">
      <c r="A151" s="1243" t="s">
        <v>619</v>
      </c>
      <c r="B151" s="1244"/>
      <c r="C151" s="545"/>
      <c r="D151" s="545"/>
      <c r="E151" s="545"/>
      <c r="F151" s="545"/>
      <c r="G151" s="545"/>
      <c r="H151" s="546"/>
    </row>
    <row r="152" spans="1:8" ht="14.1" customHeight="1">
      <c r="A152" s="547"/>
      <c r="B152" s="549"/>
      <c r="C152" s="549"/>
      <c r="D152" s="549"/>
      <c r="E152" s="549"/>
      <c r="F152" s="549"/>
      <c r="G152" s="549"/>
      <c r="H152" s="550"/>
    </row>
    <row r="153" spans="1:8" ht="14.1" customHeight="1">
      <c r="A153" s="565">
        <v>520</v>
      </c>
      <c r="B153" s="566" t="s">
        <v>170</v>
      </c>
      <c r="C153" s="549"/>
      <c r="D153" s="549"/>
      <c r="E153" s="549"/>
      <c r="F153" s="549"/>
      <c r="G153" s="549">
        <f>G156*E155</f>
        <v>32500000</v>
      </c>
      <c r="H153" s="550"/>
    </row>
    <row r="154" spans="1:8" ht="14.1" customHeight="1">
      <c r="A154" s="547"/>
      <c r="B154" s="567">
        <v>419</v>
      </c>
      <c r="C154" s="566" t="s">
        <v>167</v>
      </c>
      <c r="D154" s="549"/>
      <c r="E154" s="549"/>
      <c r="F154" s="549"/>
      <c r="G154" s="549"/>
      <c r="H154" s="550">
        <f>G153</f>
        <v>32500000</v>
      </c>
    </row>
    <row r="155" spans="1:8" ht="14.1" customHeight="1">
      <c r="A155" s="547"/>
      <c r="B155" s="549"/>
      <c r="C155" s="549" t="s">
        <v>623</v>
      </c>
      <c r="D155" s="549"/>
      <c r="E155" s="555">
        <v>650</v>
      </c>
      <c r="F155" s="549"/>
      <c r="G155" s="549"/>
      <c r="H155" s="550"/>
    </row>
    <row r="156" spans="1:8" ht="14.1" customHeight="1">
      <c r="A156" s="547"/>
      <c r="B156" s="549"/>
      <c r="C156" s="549" t="s">
        <v>629</v>
      </c>
      <c r="D156" s="549"/>
      <c r="E156" s="549"/>
      <c r="F156" s="549"/>
      <c r="G156" s="555">
        <v>50000</v>
      </c>
      <c r="H156" s="550"/>
    </row>
    <row r="157" spans="1:8" ht="14.1" customHeight="1">
      <c r="A157" s="556" t="s">
        <v>1111</v>
      </c>
      <c r="B157" s="557"/>
      <c r="C157" s="557"/>
      <c r="D157" s="558"/>
      <c r="E157" s="558"/>
      <c r="F157" s="558"/>
      <c r="G157" s="558"/>
      <c r="H157" s="559"/>
    </row>
    <row r="158" spans="1:8" ht="14.1" customHeight="1">
      <c r="A158" s="556">
        <f>A153</f>
        <v>520</v>
      </c>
      <c r="B158" s="558" t="str">
        <f>B153</f>
        <v>Banques cpte en monnaie nationale</v>
      </c>
      <c r="C158" s="558"/>
      <c r="D158" s="558">
        <f>B154</f>
        <v>419</v>
      </c>
      <c r="E158" s="558" t="str">
        <f>C154</f>
        <v>clients  acptes et avces  recus</v>
      </c>
      <c r="F158" s="558"/>
      <c r="G158" s="558"/>
      <c r="H158" s="559">
        <f>G153</f>
        <v>32500000</v>
      </c>
    </row>
    <row r="159" spans="1:8" ht="14.1" customHeight="1">
      <c r="A159" s="547"/>
      <c r="B159" s="549"/>
      <c r="C159" s="549"/>
      <c r="D159" s="549"/>
      <c r="E159" s="549"/>
      <c r="F159" s="549"/>
      <c r="G159" s="549"/>
      <c r="H159" s="550"/>
    </row>
    <row r="160" spans="1:8" ht="14.1" customHeight="1">
      <c r="A160" s="1246" t="s">
        <v>610</v>
      </c>
      <c r="B160" s="1247"/>
      <c r="C160" s="549"/>
      <c r="D160" s="549"/>
      <c r="E160" s="549"/>
      <c r="F160" s="549"/>
      <c r="G160" s="549"/>
      <c r="H160" s="550"/>
    </row>
    <row r="161" spans="1:8" ht="14.1" customHeight="1">
      <c r="A161" s="551">
        <v>4115</v>
      </c>
      <c r="B161" s="552" t="s">
        <v>327</v>
      </c>
      <c r="C161" s="549"/>
      <c r="D161" s="549"/>
      <c r="E161" s="549"/>
      <c r="F161" s="549"/>
      <c r="G161" s="549">
        <f>H163-G162</f>
        <v>1267500000</v>
      </c>
      <c r="H161" s="550"/>
    </row>
    <row r="162" spans="1:8" ht="14.1" customHeight="1">
      <c r="A162" s="547">
        <v>419</v>
      </c>
      <c r="B162" s="549" t="s">
        <v>167</v>
      </c>
      <c r="C162" s="549"/>
      <c r="D162" s="549"/>
      <c r="E162" s="549"/>
      <c r="F162" s="549"/>
      <c r="G162" s="549">
        <f>H154</f>
        <v>32500000</v>
      </c>
      <c r="H162" s="550"/>
    </row>
    <row r="163" spans="1:8" ht="14.1" customHeight="1">
      <c r="A163" s="547"/>
      <c r="B163" s="548">
        <v>7022</v>
      </c>
      <c r="C163" s="548" t="s">
        <v>808</v>
      </c>
      <c r="D163" s="549"/>
      <c r="E163" s="549"/>
      <c r="F163" s="549"/>
      <c r="G163" s="549"/>
      <c r="H163" s="550">
        <f>G165*E164</f>
        <v>1300000000</v>
      </c>
    </row>
    <row r="164" spans="1:8" ht="14.1" customHeight="1">
      <c r="A164" s="547"/>
      <c r="B164" s="549"/>
      <c r="C164" s="549" t="s">
        <v>614</v>
      </c>
      <c r="D164" s="549"/>
      <c r="E164" s="555">
        <v>650</v>
      </c>
      <c r="F164" s="549"/>
      <c r="G164" s="549"/>
      <c r="H164" s="550"/>
    </row>
    <row r="165" spans="1:8" ht="14.1" customHeight="1">
      <c r="A165" s="547"/>
      <c r="B165" s="549"/>
      <c r="C165" s="549" t="s">
        <v>222</v>
      </c>
      <c r="D165" s="549"/>
      <c r="E165" s="549"/>
      <c r="F165" s="549"/>
      <c r="G165" s="555">
        <v>2000000</v>
      </c>
      <c r="H165" s="550"/>
    </row>
    <row r="166" spans="1:8" ht="14.1" customHeight="1">
      <c r="A166" s="556" t="s">
        <v>1479</v>
      </c>
      <c r="B166" s="558"/>
      <c r="C166" s="558"/>
      <c r="D166" s="558"/>
      <c r="E166" s="558"/>
      <c r="F166" s="558"/>
      <c r="G166" s="558"/>
      <c r="H166" s="559"/>
    </row>
    <row r="167" spans="1:8" ht="14.1" customHeight="1">
      <c r="A167" s="556">
        <f>A161</f>
        <v>4115</v>
      </c>
      <c r="B167" s="558" t="str">
        <f>B161</f>
        <v>client et organismes étrangers</v>
      </c>
      <c r="C167" s="558"/>
      <c r="D167" s="558">
        <f>B163</f>
        <v>7022</v>
      </c>
      <c r="E167" s="558" t="str">
        <f>C163</f>
        <v>Ventes Mach  &amp; P fini UEMOA  &amp; RDM</v>
      </c>
      <c r="F167" s="558"/>
      <c r="G167" s="558"/>
      <c r="H167" s="559">
        <f>H163</f>
        <v>1300000000</v>
      </c>
    </row>
    <row r="168" spans="1:8" ht="14.1" customHeight="1">
      <c r="A168" s="556">
        <f>A162</f>
        <v>419</v>
      </c>
      <c r="B168" s="558" t="str">
        <f>B162</f>
        <v>clients  acptes et avces  recus</v>
      </c>
      <c r="C168" s="558"/>
      <c r="D168" s="558">
        <f>A167</f>
        <v>4115</v>
      </c>
      <c r="E168" s="558" t="str">
        <f>B167</f>
        <v>client et organismes étrangers</v>
      </c>
      <c r="F168" s="558"/>
      <c r="G168" s="558"/>
      <c r="H168" s="559">
        <f>G162</f>
        <v>32500000</v>
      </c>
    </row>
    <row r="169" spans="1:8" ht="14.1" customHeight="1">
      <c r="A169" s="547"/>
      <c r="B169" s="549"/>
      <c r="C169" s="549"/>
      <c r="D169" s="549"/>
      <c r="E169" s="549"/>
      <c r="F169" s="549"/>
      <c r="G169" s="549"/>
      <c r="H169" s="550"/>
    </row>
    <row r="170" spans="1:8" ht="14.1" customHeight="1">
      <c r="A170" s="1246" t="s">
        <v>630</v>
      </c>
      <c r="B170" s="1247"/>
      <c r="C170" s="549"/>
      <c r="D170" s="549"/>
      <c r="E170" s="549"/>
      <c r="F170" s="549"/>
      <c r="G170" s="549"/>
      <c r="H170" s="550"/>
    </row>
    <row r="171" spans="1:8" ht="14.1" customHeight="1">
      <c r="A171" s="547"/>
      <c r="B171" s="549"/>
      <c r="C171" s="549" t="s">
        <v>614</v>
      </c>
      <c r="D171" s="549"/>
      <c r="E171" s="555">
        <v>655</v>
      </c>
      <c r="F171" s="549"/>
      <c r="G171" s="549"/>
      <c r="H171" s="550"/>
    </row>
    <row r="172" spans="1:8" ht="14.1" customHeight="1">
      <c r="A172" s="565">
        <v>520</v>
      </c>
      <c r="B172" s="566" t="s">
        <v>170</v>
      </c>
      <c r="C172" s="549"/>
      <c r="D172" s="549"/>
      <c r="E172" s="549"/>
      <c r="F172" s="549"/>
      <c r="G172" s="549">
        <f>G165*E171-G162</f>
        <v>1277500000</v>
      </c>
      <c r="H172" s="550"/>
    </row>
    <row r="173" spans="1:8" ht="14.1" customHeight="1">
      <c r="A173" s="547"/>
      <c r="B173" s="549">
        <v>4115</v>
      </c>
      <c r="C173" s="549" t="s">
        <v>327</v>
      </c>
      <c r="D173" s="549"/>
      <c r="E173" s="549"/>
      <c r="F173" s="549"/>
      <c r="G173" s="549"/>
      <c r="H173" s="550">
        <f>G161</f>
        <v>1267500000</v>
      </c>
    </row>
    <row r="174" spans="1:8" ht="14.1" customHeight="1">
      <c r="A174" s="547"/>
      <c r="B174" s="549">
        <v>776</v>
      </c>
      <c r="C174" s="549" t="s">
        <v>631</v>
      </c>
      <c r="D174" s="549"/>
      <c r="E174" s="549"/>
      <c r="F174" s="549"/>
      <c r="G174" s="549"/>
      <c r="H174" s="550">
        <f>G172-H173</f>
        <v>10000000</v>
      </c>
    </row>
    <row r="175" spans="1:8" ht="14.1" customHeight="1">
      <c r="A175" s="556" t="s">
        <v>1479</v>
      </c>
      <c r="B175" s="558"/>
      <c r="C175" s="558"/>
      <c r="D175" s="558"/>
      <c r="E175" s="558"/>
      <c r="F175" s="558"/>
      <c r="G175" s="558"/>
      <c r="H175" s="559"/>
    </row>
    <row r="176" spans="1:8" ht="14.1" customHeight="1">
      <c r="A176" s="556">
        <f>A172</f>
        <v>520</v>
      </c>
      <c r="B176" s="558" t="str">
        <f>B172</f>
        <v>Banques cpte en monnaie nationale</v>
      </c>
      <c r="C176" s="558"/>
      <c r="D176" s="558">
        <f>B173</f>
        <v>4115</v>
      </c>
      <c r="E176" s="558" t="str">
        <f>C173</f>
        <v>client et organismes étrangers</v>
      </c>
      <c r="F176" s="558"/>
      <c r="G176" s="558"/>
      <c r="H176" s="559">
        <f>H173</f>
        <v>1267500000</v>
      </c>
    </row>
    <row r="177" spans="1:8" ht="14.1" customHeight="1">
      <c r="A177" s="556">
        <f>A176</f>
        <v>520</v>
      </c>
      <c r="B177" s="558" t="str">
        <f>B176</f>
        <v>Banques cpte en monnaie nationale</v>
      </c>
      <c r="C177" s="558"/>
      <c r="D177" s="558">
        <f>B174</f>
        <v>776</v>
      </c>
      <c r="E177" s="558" t="str">
        <f>C174</f>
        <v>GAIN DE CHANGE</v>
      </c>
      <c r="F177" s="558"/>
      <c r="G177" s="558"/>
      <c r="H177" s="559">
        <f>H174</f>
        <v>10000000</v>
      </c>
    </row>
    <row r="178" spans="1:8" ht="14.1" customHeight="1">
      <c r="A178" s="547"/>
      <c r="B178" s="549"/>
      <c r="C178" s="549"/>
      <c r="D178" s="549"/>
      <c r="E178" s="549"/>
      <c r="F178" s="549"/>
      <c r="G178" s="549"/>
      <c r="H178" s="550"/>
    </row>
    <row r="179" spans="1:8" ht="14.1" customHeight="1">
      <c r="A179" s="1246" t="s">
        <v>613</v>
      </c>
      <c r="B179" s="1247"/>
      <c r="C179" s="549"/>
      <c r="D179" s="549"/>
      <c r="E179" s="549"/>
      <c r="F179" s="549"/>
      <c r="G179" s="549"/>
      <c r="H179" s="550"/>
    </row>
    <row r="180" spans="1:8" ht="14.1" customHeight="1">
      <c r="A180" s="547"/>
      <c r="B180" s="549"/>
      <c r="C180" s="549" t="s">
        <v>614</v>
      </c>
      <c r="D180" s="549"/>
      <c r="E180" s="555">
        <v>648</v>
      </c>
      <c r="F180" s="549"/>
      <c r="G180" s="549"/>
      <c r="H180" s="550"/>
    </row>
    <row r="181" spans="1:8" ht="14.1" customHeight="1">
      <c r="A181" s="547">
        <v>520</v>
      </c>
      <c r="B181" s="549" t="s">
        <v>170</v>
      </c>
      <c r="C181" s="549"/>
      <c r="D181" s="549"/>
      <c r="E181" s="549"/>
      <c r="F181" s="549"/>
      <c r="G181" s="549">
        <f>G165*E180-G162</f>
        <v>1263500000</v>
      </c>
      <c r="H181" s="550"/>
    </row>
    <row r="182" spans="1:8" ht="14.1" customHeight="1">
      <c r="A182" s="547">
        <v>6760</v>
      </c>
      <c r="B182" s="549" t="s">
        <v>617</v>
      </c>
      <c r="C182" s="549"/>
      <c r="D182" s="549"/>
      <c r="E182" s="549"/>
      <c r="F182" s="549"/>
      <c r="G182" s="549">
        <f>H183-G181</f>
        <v>4000000</v>
      </c>
      <c r="H182" s="550"/>
    </row>
    <row r="183" spans="1:8" ht="14.1" customHeight="1">
      <c r="A183" s="547"/>
      <c r="B183" s="549">
        <v>4115</v>
      </c>
      <c r="C183" s="549" t="s">
        <v>327</v>
      </c>
      <c r="D183" s="549"/>
      <c r="E183" s="549"/>
      <c r="F183" s="549"/>
      <c r="G183" s="549"/>
      <c r="H183" s="550">
        <f>G161</f>
        <v>1267500000</v>
      </c>
    </row>
    <row r="184" spans="1:8" ht="14.1" customHeight="1">
      <c r="A184" s="556" t="s">
        <v>1479</v>
      </c>
      <c r="B184" s="558"/>
      <c r="C184" s="558"/>
      <c r="D184" s="558"/>
      <c r="E184" s="558"/>
      <c r="F184" s="558"/>
      <c r="G184" s="558"/>
      <c r="H184" s="559"/>
    </row>
    <row r="185" spans="1:8" ht="14.1" customHeight="1">
      <c r="A185" s="556">
        <f>A181</f>
        <v>520</v>
      </c>
      <c r="B185" s="558" t="str">
        <f>B181</f>
        <v>Banques cpte en monnaie nationale</v>
      </c>
      <c r="C185" s="558"/>
      <c r="D185" s="558">
        <f>B183</f>
        <v>4115</v>
      </c>
      <c r="E185" s="558" t="str">
        <f>C183</f>
        <v>client et organismes étrangers</v>
      </c>
      <c r="F185" s="558"/>
      <c r="G185" s="558"/>
      <c r="H185" s="559">
        <f>H183</f>
        <v>1267500000</v>
      </c>
    </row>
    <row r="186" spans="1:8" ht="14.1" customHeight="1">
      <c r="A186" s="561">
        <f>A182</f>
        <v>6760</v>
      </c>
      <c r="B186" s="562" t="str">
        <f>B182</f>
        <v>Perte de change</v>
      </c>
      <c r="C186" s="562"/>
      <c r="D186" s="562">
        <f>B183</f>
        <v>4115</v>
      </c>
      <c r="E186" s="562" t="str">
        <f>C183</f>
        <v>client et organismes étrangers</v>
      </c>
      <c r="F186" s="562"/>
      <c r="G186" s="562"/>
      <c r="H186" s="563">
        <f>G182</f>
        <v>4000000</v>
      </c>
    </row>
    <row r="188" spans="1:8" ht="14.1" customHeight="1" thickBot="1">
      <c r="A188" s="1248" t="s">
        <v>1590</v>
      </c>
      <c r="B188" s="1249"/>
      <c r="C188" s="1249"/>
      <c r="D188"/>
      <c r="E188"/>
      <c r="F188"/>
      <c r="G188"/>
      <c r="H188"/>
    </row>
    <row r="189" spans="1:8" ht="14.1" customHeight="1">
      <c r="A189" s="1197"/>
      <c r="B189" s="1198"/>
      <c r="C189" s="1198"/>
      <c r="D189" s="1198" t="s">
        <v>1591</v>
      </c>
      <c r="E189" s="1198"/>
      <c r="F189" s="1198"/>
      <c r="G189" s="1198"/>
      <c r="H189" s="1199"/>
    </row>
    <row r="190" spans="1:8" ht="14.1" customHeight="1">
      <c r="A190" s="1252" t="s">
        <v>610</v>
      </c>
      <c r="B190" s="1247"/>
      <c r="C190" s="549"/>
      <c r="D190" s="549"/>
      <c r="E190" s="549"/>
      <c r="F190" s="549"/>
      <c r="G190" s="549"/>
      <c r="H190" s="1190"/>
    </row>
    <row r="191" spans="1:8" ht="14.1" customHeight="1">
      <c r="A191" s="1200">
        <v>4115</v>
      </c>
      <c r="B191" s="552" t="s">
        <v>327</v>
      </c>
      <c r="C191" s="549"/>
      <c r="D191" s="549"/>
      <c r="E191" s="549"/>
      <c r="F191" s="549"/>
      <c r="G191" s="549">
        <v>65000</v>
      </c>
      <c r="H191" s="1190"/>
    </row>
    <row r="192" spans="1:8" ht="14.1" customHeight="1">
      <c r="A192" s="1189"/>
      <c r="B192" s="548">
        <v>7022</v>
      </c>
      <c r="C192" s="548" t="s">
        <v>572</v>
      </c>
      <c r="D192" s="549"/>
      <c r="E192" s="549"/>
      <c r="F192" s="549"/>
      <c r="G192" s="549"/>
      <c r="H192" s="1190">
        <v>65000</v>
      </c>
    </row>
    <row r="193" spans="1:8" ht="14.1" customHeight="1">
      <c r="A193" s="1189"/>
      <c r="B193" s="549"/>
      <c r="C193" s="549" t="s">
        <v>623</v>
      </c>
      <c r="D193" s="549"/>
      <c r="E193" s="555">
        <v>650</v>
      </c>
      <c r="F193" s="549"/>
      <c r="G193" s="549"/>
      <c r="H193" s="1190"/>
    </row>
    <row r="194" spans="1:8" ht="14.1" customHeight="1">
      <c r="A194" s="1189"/>
      <c r="B194" s="549"/>
      <c r="C194" s="549" t="s">
        <v>624</v>
      </c>
      <c r="D194" s="549"/>
      <c r="E194" s="549"/>
      <c r="F194" s="549"/>
      <c r="G194" s="555">
        <v>100</v>
      </c>
      <c r="H194" s="1190"/>
    </row>
    <row r="195" spans="1:8" ht="14.1" customHeight="1">
      <c r="A195" s="1187" t="s">
        <v>1111</v>
      </c>
      <c r="B195" s="557"/>
      <c r="C195" s="557"/>
      <c r="D195" s="558"/>
      <c r="E195" s="558"/>
      <c r="F195" s="558"/>
      <c r="G195" s="558"/>
      <c r="H195" s="1188"/>
    </row>
    <row r="196" spans="1:8" ht="14.1" customHeight="1">
      <c r="A196" s="1187">
        <v>4115</v>
      </c>
      <c r="B196" s="558" t="s">
        <v>327</v>
      </c>
      <c r="C196" s="558"/>
      <c r="D196" s="558">
        <v>7022</v>
      </c>
      <c r="E196" s="558" t="s">
        <v>572</v>
      </c>
      <c r="F196" s="558"/>
      <c r="G196" s="558"/>
      <c r="H196" s="1188">
        <v>65000</v>
      </c>
    </row>
    <row r="197" spans="1:8" ht="14.1" customHeight="1">
      <c r="A197" s="1189"/>
      <c r="B197" s="549"/>
      <c r="C197" s="549"/>
      <c r="D197" s="549"/>
      <c r="E197" s="549"/>
      <c r="F197" s="549"/>
      <c r="G197" s="549"/>
      <c r="H197" s="1190"/>
    </row>
    <row r="198" spans="1:8" ht="14.1" customHeight="1">
      <c r="A198" s="1189"/>
      <c r="B198" s="549"/>
      <c r="C198" s="549"/>
      <c r="D198" s="549" t="s">
        <v>1579</v>
      </c>
      <c r="E198" s="549"/>
      <c r="F198" s="549"/>
      <c r="G198" s="549"/>
      <c r="H198" s="1190"/>
    </row>
    <row r="199" spans="1:8" ht="14.1" customHeight="1">
      <c r="A199" s="1252" t="s">
        <v>1592</v>
      </c>
      <c r="B199" s="1247"/>
      <c r="C199" s="549"/>
      <c r="D199" s="549"/>
      <c r="E199" s="549"/>
      <c r="F199" s="549"/>
      <c r="G199" s="549"/>
      <c r="H199" s="1190"/>
    </row>
    <row r="200" spans="1:8" ht="14.1" customHeight="1">
      <c r="A200" s="1189"/>
      <c r="B200" s="549"/>
      <c r="C200" s="549" t="s">
        <v>614</v>
      </c>
      <c r="D200" s="549"/>
      <c r="E200" s="555">
        <v>655</v>
      </c>
      <c r="F200" s="549"/>
      <c r="G200" s="549"/>
      <c r="H200" s="1190"/>
    </row>
    <row r="201" spans="1:8" ht="14.1" customHeight="1">
      <c r="A201" s="1191">
        <v>4115</v>
      </c>
      <c r="B201" s="565" t="s">
        <v>327</v>
      </c>
      <c r="C201" s="549"/>
      <c r="D201" s="549"/>
      <c r="E201" s="549"/>
      <c r="F201" s="549"/>
      <c r="G201" s="549">
        <v>500</v>
      </c>
      <c r="H201" s="1190"/>
    </row>
    <row r="202" spans="1:8" ht="14.1" customHeight="1">
      <c r="A202" s="1189"/>
      <c r="B202" s="549">
        <v>479</v>
      </c>
      <c r="C202" s="549" t="s">
        <v>1593</v>
      </c>
      <c r="D202" s="549"/>
      <c r="E202" s="549"/>
      <c r="F202" s="549"/>
      <c r="G202" s="549"/>
      <c r="H202" s="1190">
        <v>500</v>
      </c>
    </row>
    <row r="203" spans="1:8" ht="14.1" customHeight="1">
      <c r="A203" s="1189"/>
      <c r="B203" s="549"/>
      <c r="C203" s="549"/>
      <c r="D203" s="549"/>
      <c r="E203" s="549"/>
      <c r="F203" s="549"/>
      <c r="G203" s="549"/>
      <c r="H203" s="1190"/>
    </row>
    <row r="204" spans="1:8" ht="14.1" customHeight="1">
      <c r="A204" s="1252" t="s">
        <v>613</v>
      </c>
      <c r="B204" s="1247"/>
      <c r="C204" s="549"/>
      <c r="D204" s="549" t="s">
        <v>1579</v>
      </c>
      <c r="E204" s="549"/>
      <c r="F204" s="549"/>
      <c r="G204" s="549"/>
      <c r="H204" s="1190"/>
    </row>
    <row r="205" spans="1:8" ht="14.1" customHeight="1">
      <c r="A205" s="1189"/>
      <c r="B205" s="549"/>
      <c r="C205" s="549" t="s">
        <v>614</v>
      </c>
      <c r="D205" s="549"/>
      <c r="E205" s="555">
        <v>648</v>
      </c>
      <c r="F205" s="549"/>
      <c r="G205" s="549"/>
      <c r="H205" s="1190"/>
    </row>
    <row r="206" spans="1:8" ht="14.1" customHeight="1">
      <c r="A206" s="1189">
        <v>478</v>
      </c>
      <c r="B206" s="549" t="s">
        <v>1594</v>
      </c>
      <c r="C206" s="549"/>
      <c r="D206" s="549"/>
      <c r="E206" s="549"/>
      <c r="F206" s="549"/>
      <c r="G206" s="549">
        <v>200</v>
      </c>
      <c r="H206" s="1190"/>
    </row>
    <row r="207" spans="1:8" ht="14.1" customHeight="1">
      <c r="A207" s="1189"/>
      <c r="B207" s="549">
        <v>4115</v>
      </c>
      <c r="C207" s="549" t="s">
        <v>327</v>
      </c>
      <c r="D207" s="549"/>
      <c r="E207" s="549"/>
      <c r="F207" s="549"/>
      <c r="G207" s="549"/>
      <c r="H207" s="1190">
        <v>200</v>
      </c>
    </row>
    <row r="208" spans="1:8" ht="14.1" customHeight="1">
      <c r="A208" s="1187" t="s">
        <v>1583</v>
      </c>
      <c r="B208" s="558"/>
      <c r="C208" s="558"/>
      <c r="D208" s="558"/>
      <c r="E208" s="558"/>
      <c r="F208" s="558"/>
      <c r="G208" s="558"/>
      <c r="H208" s="1188"/>
    </row>
    <row r="209" spans="1:8" ht="14.1" customHeight="1">
      <c r="A209" s="1187">
        <v>478</v>
      </c>
      <c r="B209" s="558" t="s">
        <v>1594</v>
      </c>
      <c r="C209" s="558"/>
      <c r="D209" s="558">
        <v>4115</v>
      </c>
      <c r="E209" s="558" t="s">
        <v>327</v>
      </c>
      <c r="F209" s="558"/>
      <c r="G209" s="558">
        <v>200</v>
      </c>
      <c r="H209" s="1188"/>
    </row>
    <row r="210" spans="1:8" ht="14.1" customHeight="1">
      <c r="A210" s="1189"/>
      <c r="B210" s="549"/>
      <c r="C210" s="549"/>
      <c r="D210" s="549"/>
      <c r="E210" s="549"/>
      <c r="F210" s="549"/>
      <c r="G210" s="549"/>
      <c r="H210" s="1190"/>
    </row>
    <row r="211" spans="1:8" ht="14.1" customHeight="1">
      <c r="A211" s="1181">
        <v>6970</v>
      </c>
      <c r="B211" s="1182" t="s">
        <v>1581</v>
      </c>
      <c r="C211" s="1182"/>
      <c r="D211" s="1182"/>
      <c r="E211" s="1182"/>
      <c r="F211" s="1182"/>
      <c r="G211" s="1182">
        <v>200</v>
      </c>
      <c r="H211" s="1183"/>
    </row>
    <row r="212" spans="1:8" ht="14.1" customHeight="1">
      <c r="A212" s="1181"/>
      <c r="B212" s="1184">
        <v>194</v>
      </c>
      <c r="C212" s="1182" t="s">
        <v>1582</v>
      </c>
      <c r="D212" s="1185"/>
      <c r="E212" s="1185"/>
      <c r="F212" s="1185"/>
      <c r="G212" s="1185"/>
      <c r="H212" s="1186">
        <v>200</v>
      </c>
    </row>
    <row r="213" spans="1:8" ht="14.1" customHeight="1">
      <c r="A213" s="1187" t="s">
        <v>1583</v>
      </c>
      <c r="B213" s="558"/>
      <c r="C213" s="558"/>
      <c r="D213" s="558"/>
      <c r="E213" s="558"/>
      <c r="F213" s="558"/>
      <c r="G213" s="558"/>
      <c r="H213" s="1188"/>
    </row>
    <row r="214" spans="1:8" ht="14.1" customHeight="1">
      <c r="A214" s="1187">
        <v>6970</v>
      </c>
      <c r="B214" s="558" t="s">
        <v>1581</v>
      </c>
      <c r="C214" s="558"/>
      <c r="D214" s="558">
        <v>194</v>
      </c>
      <c r="E214" s="558" t="s">
        <v>1582</v>
      </c>
      <c r="F214" s="558"/>
      <c r="G214" s="558">
        <v>200</v>
      </c>
      <c r="H214" s="1188"/>
    </row>
    <row r="215" spans="1:8" ht="14.1" customHeight="1">
      <c r="A215" s="1189"/>
      <c r="B215" s="549"/>
      <c r="C215" s="549"/>
      <c r="D215" s="549"/>
      <c r="E215" s="549"/>
      <c r="F215" s="549"/>
      <c r="G215" s="549"/>
      <c r="H215" s="1190"/>
    </row>
    <row r="216" spans="1:8" ht="14.1" customHeight="1">
      <c r="A216" s="1252" t="s">
        <v>1586</v>
      </c>
      <c r="B216" s="1247"/>
      <c r="C216" s="549"/>
      <c r="D216" s="549" t="s">
        <v>1587</v>
      </c>
      <c r="E216" s="549"/>
      <c r="F216" s="549"/>
      <c r="G216" s="549"/>
      <c r="H216" s="1190"/>
    </row>
    <row r="217" spans="1:8" ht="14.1" customHeight="1">
      <c r="A217" s="1189"/>
      <c r="B217" s="549"/>
      <c r="C217" s="549" t="s">
        <v>614</v>
      </c>
      <c r="D217" s="555">
        <v>800</v>
      </c>
      <c r="E217" s="549"/>
      <c r="F217" s="549"/>
      <c r="G217" s="549"/>
      <c r="H217" s="1190"/>
    </row>
    <row r="218" spans="1:8" ht="14.1" customHeight="1">
      <c r="A218" s="1189">
        <v>479</v>
      </c>
      <c r="B218" s="549" t="s">
        <v>1593</v>
      </c>
      <c r="C218" s="549"/>
      <c r="D218" s="549"/>
      <c r="E218" s="549"/>
      <c r="F218" s="549"/>
      <c r="G218" s="549">
        <v>500</v>
      </c>
      <c r="H218" s="1190"/>
    </row>
    <row r="219" spans="1:8" ht="14.1" customHeight="1">
      <c r="A219" s="1189"/>
      <c r="B219" s="549">
        <v>4115</v>
      </c>
      <c r="C219" s="549" t="s">
        <v>327</v>
      </c>
      <c r="D219" s="549"/>
      <c r="E219" s="549"/>
      <c r="F219" s="549"/>
      <c r="G219" s="549"/>
      <c r="H219" s="1190">
        <v>500</v>
      </c>
    </row>
    <row r="220" spans="1:8" ht="14.1" customHeight="1">
      <c r="A220" s="1191">
        <v>520</v>
      </c>
      <c r="B220" s="566" t="s">
        <v>170</v>
      </c>
      <c r="C220" s="549"/>
      <c r="D220" s="549"/>
      <c r="E220" s="549"/>
      <c r="F220" s="549"/>
      <c r="G220" s="549">
        <v>80000</v>
      </c>
      <c r="H220" s="1190"/>
    </row>
    <row r="221" spans="1:8" ht="14.1" customHeight="1">
      <c r="A221" s="1189"/>
      <c r="B221" s="549">
        <v>4115</v>
      </c>
      <c r="C221" s="549" t="s">
        <v>327</v>
      </c>
      <c r="D221" s="549"/>
      <c r="E221" s="549"/>
      <c r="F221" s="549"/>
      <c r="G221" s="549"/>
      <c r="H221" s="1190">
        <v>65000</v>
      </c>
    </row>
    <row r="222" spans="1:8" ht="14.1" customHeight="1">
      <c r="A222" s="1189"/>
      <c r="B222" s="549">
        <v>776</v>
      </c>
      <c r="C222" s="549" t="s">
        <v>631</v>
      </c>
      <c r="D222" s="549"/>
      <c r="E222" s="549"/>
      <c r="F222" s="549"/>
      <c r="G222" s="549"/>
      <c r="H222" s="1190">
        <v>15000</v>
      </c>
    </row>
    <row r="223" spans="1:8" ht="14.1" customHeight="1">
      <c r="A223" s="1187" t="s">
        <v>1583</v>
      </c>
      <c r="B223" s="558"/>
      <c r="C223" s="558"/>
      <c r="D223" s="558"/>
      <c r="E223" s="558"/>
      <c r="F223" s="558"/>
      <c r="G223" s="558"/>
      <c r="H223" s="1188"/>
    </row>
    <row r="224" spans="1:8" ht="14.1" customHeight="1">
      <c r="A224" s="1187">
        <v>479</v>
      </c>
      <c r="B224" s="556" t="s">
        <v>1593</v>
      </c>
      <c r="C224" s="558"/>
      <c r="D224" s="558">
        <v>4115</v>
      </c>
      <c r="E224" s="558" t="s">
        <v>327</v>
      </c>
      <c r="F224" s="558"/>
      <c r="G224" s="558">
        <v>500</v>
      </c>
      <c r="H224" s="1188"/>
    </row>
    <row r="225" spans="1:8" ht="14.1" customHeight="1">
      <c r="A225" s="1187">
        <v>520</v>
      </c>
      <c r="B225" s="556" t="s">
        <v>170</v>
      </c>
      <c r="C225" s="558"/>
      <c r="D225" s="558">
        <v>4115</v>
      </c>
      <c r="E225" s="558" t="s">
        <v>327</v>
      </c>
      <c r="F225" s="558"/>
      <c r="G225" s="558">
        <v>65000</v>
      </c>
      <c r="H225" s="1188"/>
    </row>
    <row r="226" spans="1:8" ht="14.1" customHeight="1">
      <c r="A226" s="1192">
        <v>520</v>
      </c>
      <c r="B226" s="561" t="s">
        <v>170</v>
      </c>
      <c r="C226" s="562"/>
      <c r="D226" s="562">
        <v>776</v>
      </c>
      <c r="E226" s="562" t="s">
        <v>631</v>
      </c>
      <c r="F226" s="562"/>
      <c r="G226" s="562"/>
      <c r="H226" s="1193">
        <v>15000</v>
      </c>
    </row>
    <row r="227" spans="1:8" ht="14.1" customHeight="1">
      <c r="A227" s="1189"/>
      <c r="B227" s="549"/>
      <c r="C227" s="549"/>
      <c r="D227" s="549"/>
      <c r="E227" s="549"/>
      <c r="F227" s="549"/>
      <c r="G227" s="549"/>
      <c r="H227" s="1190"/>
    </row>
    <row r="228" spans="1:8" ht="14.1" customHeight="1">
      <c r="A228" s="1252" t="s">
        <v>613</v>
      </c>
      <c r="B228" s="1247"/>
      <c r="C228" s="549"/>
      <c r="D228" s="549"/>
      <c r="E228" s="549"/>
      <c r="F228" s="549"/>
      <c r="G228" s="549"/>
      <c r="H228" s="1190"/>
    </row>
    <row r="229" spans="1:8" ht="14.1" customHeight="1">
      <c r="A229" s="1189"/>
      <c r="B229" s="549"/>
      <c r="C229" s="549" t="s">
        <v>614</v>
      </c>
      <c r="D229" s="549"/>
      <c r="E229" s="555">
        <v>640</v>
      </c>
      <c r="F229" s="549"/>
      <c r="G229" s="549"/>
      <c r="H229" s="1190"/>
    </row>
    <row r="230" spans="1:8" ht="14.1" customHeight="1">
      <c r="A230" s="1189">
        <v>520</v>
      </c>
      <c r="B230" s="549" t="s">
        <v>170</v>
      </c>
      <c r="C230" s="549"/>
      <c r="D230" s="549"/>
      <c r="E230" s="549"/>
      <c r="F230" s="549"/>
      <c r="G230" s="549">
        <v>64000</v>
      </c>
      <c r="H230" s="1190"/>
    </row>
    <row r="231" spans="1:8" ht="14.1" customHeight="1">
      <c r="A231" s="1189">
        <v>6760</v>
      </c>
      <c r="B231" s="549" t="s">
        <v>617</v>
      </c>
      <c r="C231" s="549"/>
      <c r="D231" s="549"/>
      <c r="E231" s="549"/>
      <c r="F231" s="549"/>
      <c r="G231" s="549">
        <v>1000</v>
      </c>
      <c r="H231" s="1190"/>
    </row>
    <row r="232" spans="1:8" ht="14.1" customHeight="1">
      <c r="A232" s="1189"/>
      <c r="B232" s="549">
        <v>4115</v>
      </c>
      <c r="C232" s="549" t="s">
        <v>327</v>
      </c>
      <c r="D232" s="549"/>
      <c r="E232" s="549"/>
      <c r="F232" s="549"/>
      <c r="G232" s="549"/>
      <c r="H232" s="1190">
        <v>65000</v>
      </c>
    </row>
    <row r="233" spans="1:8" ht="14.1" customHeight="1">
      <c r="A233" s="1187" t="s">
        <v>1479</v>
      </c>
      <c r="B233" s="558"/>
      <c r="C233" s="558"/>
      <c r="D233" s="558"/>
      <c r="E233" s="558"/>
      <c r="F233" s="558"/>
      <c r="G233" s="558"/>
      <c r="H233" s="1188"/>
    </row>
    <row r="234" spans="1:8" ht="14.1" customHeight="1">
      <c r="A234" s="1187">
        <v>520</v>
      </c>
      <c r="B234" s="558" t="s">
        <v>170</v>
      </c>
      <c r="C234" s="558"/>
      <c r="D234" s="558">
        <v>4115</v>
      </c>
      <c r="E234" s="558" t="s">
        <v>327</v>
      </c>
      <c r="F234" s="558"/>
      <c r="G234" s="558"/>
      <c r="H234" s="1188">
        <v>65000</v>
      </c>
    </row>
    <row r="235" spans="1:8" ht="14.1" customHeight="1">
      <c r="A235" s="1192">
        <v>6760</v>
      </c>
      <c r="B235" s="562" t="s">
        <v>617</v>
      </c>
      <c r="C235" s="562"/>
      <c r="D235" s="562">
        <v>4115</v>
      </c>
      <c r="E235" s="562" t="s">
        <v>327</v>
      </c>
      <c r="F235" s="562"/>
      <c r="G235" s="562"/>
      <c r="H235" s="1193">
        <v>1000</v>
      </c>
    </row>
    <row r="236" spans="1:8" ht="14.1" customHeight="1">
      <c r="A236" s="1189">
        <v>194</v>
      </c>
      <c r="B236" s="549" t="s">
        <v>1582</v>
      </c>
      <c r="C236" s="549"/>
      <c r="D236" s="549"/>
      <c r="E236" s="549"/>
      <c r="F236" s="549"/>
      <c r="G236" s="549">
        <v>200</v>
      </c>
      <c r="H236" s="1190"/>
    </row>
    <row r="237" spans="1:8" ht="14.1" customHeight="1">
      <c r="A237" s="1189"/>
      <c r="B237" s="549">
        <v>849</v>
      </c>
      <c r="C237" s="549" t="s">
        <v>1595</v>
      </c>
      <c r="D237" s="549"/>
      <c r="E237" s="549"/>
      <c r="F237" s="549"/>
      <c r="G237" s="549"/>
      <c r="H237" s="1190">
        <v>200</v>
      </c>
    </row>
    <row r="238" spans="1:8" ht="14.1" customHeight="1">
      <c r="A238" s="1187" t="s">
        <v>1583</v>
      </c>
      <c r="B238" s="558"/>
      <c r="C238" s="558"/>
      <c r="D238" s="558"/>
      <c r="E238" s="558"/>
      <c r="F238" s="558"/>
      <c r="G238" s="558"/>
      <c r="H238" s="1188"/>
    </row>
    <row r="239" spans="1:8" ht="14.1" customHeight="1" thickBot="1">
      <c r="A239" s="1194">
        <v>194</v>
      </c>
      <c r="B239" s="1195" t="s">
        <v>1582</v>
      </c>
      <c r="C239" s="1195"/>
      <c r="D239" s="1195">
        <v>849</v>
      </c>
      <c r="E239" s="1195" t="s">
        <v>1595</v>
      </c>
      <c r="F239" s="1195"/>
      <c r="G239" s="1195">
        <v>200</v>
      </c>
      <c r="H239" s="1196"/>
    </row>
    <row r="241" spans="1:8" ht="14.1" customHeight="1">
      <c r="A241" s="1253" t="s">
        <v>1172</v>
      </c>
      <c r="B241" s="1253"/>
      <c r="C241" s="1254"/>
    </row>
    <row r="242" spans="1:8" ht="14.1" customHeight="1">
      <c r="A242" s="634"/>
      <c r="B242" s="634"/>
    </row>
    <row r="243" spans="1:8" ht="14.1" customHeight="1">
      <c r="A243" s="1255" t="s">
        <v>915</v>
      </c>
      <c r="B243" s="545"/>
      <c r="C243" s="545"/>
      <c r="D243" s="545"/>
      <c r="E243" s="545"/>
      <c r="F243" s="545"/>
      <c r="G243" s="555">
        <v>200000</v>
      </c>
      <c r="H243" s="546"/>
    </row>
    <row r="244" spans="1:8" ht="14.1" customHeight="1">
      <c r="A244" s="547" t="s">
        <v>887</v>
      </c>
      <c r="B244" s="549"/>
      <c r="C244" s="549"/>
      <c r="D244" s="549"/>
      <c r="E244" s="549"/>
      <c r="F244" s="549"/>
      <c r="G244" s="555">
        <v>100000</v>
      </c>
      <c r="H244" s="550"/>
    </row>
    <row r="245" spans="1:8" ht="14.1" customHeight="1">
      <c r="A245" s="547" t="s">
        <v>888</v>
      </c>
      <c r="B245" s="549"/>
      <c r="C245" s="549"/>
      <c r="D245" s="549"/>
      <c r="E245" s="549"/>
      <c r="F245" s="549"/>
      <c r="G245" s="555">
        <v>120000</v>
      </c>
      <c r="H245" s="550"/>
    </row>
    <row r="246" spans="1:8" ht="14.1" customHeight="1">
      <c r="A246" s="1218" t="str">
        <f>IF(G245-G244&lt;0,"stocks final augmentation","Stocks final diminution")</f>
        <v>Stocks final diminution</v>
      </c>
      <c r="B246" s="568"/>
      <c r="C246" s="549" t="s">
        <v>893</v>
      </c>
      <c r="D246" s="549"/>
      <c r="E246" s="549"/>
      <c r="F246" s="549"/>
      <c r="G246" s="568">
        <f>G243+G244-G245</f>
        <v>180000</v>
      </c>
      <c r="H246" s="550"/>
    </row>
    <row r="247" spans="1:8" ht="14.1" customHeight="1">
      <c r="A247" s="547"/>
      <c r="B247" s="549"/>
      <c r="C247" s="549"/>
      <c r="D247" s="549"/>
      <c r="E247" s="549"/>
      <c r="F247" s="549"/>
      <c r="G247" s="549"/>
      <c r="H247" s="550"/>
    </row>
    <row r="248" spans="1:8" ht="14.1" customHeight="1">
      <c r="A248" s="547">
        <v>6011</v>
      </c>
      <c r="B248" s="549" t="s">
        <v>889</v>
      </c>
      <c r="C248" s="549"/>
      <c r="D248" s="549"/>
      <c r="E248" s="549"/>
      <c r="F248" s="549"/>
      <c r="G248" s="549">
        <f>G244</f>
        <v>100000</v>
      </c>
      <c r="H248" s="550"/>
    </row>
    <row r="249" spans="1:8" ht="14.1" customHeight="1">
      <c r="A249" s="547"/>
      <c r="B249" s="549">
        <v>4011</v>
      </c>
      <c r="C249" s="549" t="s">
        <v>825</v>
      </c>
      <c r="D249" s="549"/>
      <c r="E249" s="549"/>
      <c r="F249" s="549"/>
      <c r="G249" s="549"/>
      <c r="H249" s="550">
        <f>G248</f>
        <v>100000</v>
      </c>
    </row>
    <row r="250" spans="1:8" ht="14.1" customHeight="1">
      <c r="A250" s="547"/>
      <c r="B250" s="549"/>
      <c r="C250" s="549"/>
      <c r="D250" s="549"/>
      <c r="E250" s="549"/>
      <c r="F250" s="549"/>
      <c r="G250" s="549"/>
      <c r="H250" s="550"/>
    </row>
    <row r="251" spans="1:8" ht="14.1" customHeight="1">
      <c r="A251" s="551">
        <v>310</v>
      </c>
      <c r="B251" s="552" t="s">
        <v>323</v>
      </c>
      <c r="C251" s="549"/>
      <c r="D251" s="549"/>
      <c r="E251" s="549"/>
      <c r="F251" s="549"/>
      <c r="G251" s="549">
        <f>H252</f>
        <v>100000</v>
      </c>
      <c r="H251" s="550"/>
    </row>
    <row r="252" spans="1:8" ht="14.1" customHeight="1">
      <c r="A252" s="547"/>
      <c r="B252" s="552">
        <v>6031</v>
      </c>
      <c r="C252" s="552" t="s">
        <v>892</v>
      </c>
      <c r="D252" s="549"/>
      <c r="E252" s="549"/>
      <c r="F252" s="549"/>
      <c r="G252" s="549"/>
      <c r="H252" s="550">
        <f>G248</f>
        <v>100000</v>
      </c>
    </row>
    <row r="253" spans="1:8" ht="14.1" customHeight="1">
      <c r="A253" s="547"/>
      <c r="B253" s="549"/>
      <c r="C253" s="549"/>
      <c r="D253" s="549"/>
      <c r="E253" s="549"/>
      <c r="F253" s="549"/>
      <c r="G253" s="549"/>
      <c r="H253" s="550"/>
    </row>
    <row r="254" spans="1:8" ht="14.1" customHeight="1">
      <c r="A254" s="551">
        <f>B252</f>
        <v>6031</v>
      </c>
      <c r="B254" s="551" t="str">
        <f>C252</f>
        <v xml:space="preserve">Variations : stocks marchandises </v>
      </c>
      <c r="C254" s="549"/>
      <c r="D254" s="549"/>
      <c r="E254" s="549"/>
      <c r="F254" s="549"/>
      <c r="G254" s="549">
        <f>G245</f>
        <v>120000</v>
      </c>
      <c r="H254" s="550"/>
    </row>
    <row r="255" spans="1:8" ht="14.1" customHeight="1">
      <c r="A255" s="547"/>
      <c r="B255" s="552">
        <f>A251</f>
        <v>310</v>
      </c>
      <c r="C255" s="552" t="str">
        <f>B251</f>
        <v>Marchandises</v>
      </c>
      <c r="D255" s="549"/>
      <c r="E255" s="549"/>
      <c r="F255" s="549"/>
      <c r="G255" s="549"/>
      <c r="H255" s="550">
        <f>G254</f>
        <v>120000</v>
      </c>
    </row>
    <row r="256" spans="1:8" ht="14.1" customHeight="1">
      <c r="A256" s="1256" t="s">
        <v>890</v>
      </c>
      <c r="B256" s="1257"/>
      <c r="C256" s="549"/>
      <c r="D256" s="549"/>
      <c r="E256" s="549"/>
      <c r="F256" s="549"/>
      <c r="G256" s="549"/>
      <c r="H256" s="550"/>
    </row>
    <row r="257" spans="1:8" ht="14.1" customHeight="1">
      <c r="A257" s="551">
        <f>A254</f>
        <v>6031</v>
      </c>
      <c r="B257" s="551" t="str">
        <f>B254</f>
        <v xml:space="preserve">Variations : stocks marchandises </v>
      </c>
      <c r="C257" s="549"/>
      <c r="D257" s="549"/>
      <c r="E257" s="549"/>
      <c r="F257" s="549"/>
      <c r="G257" s="549">
        <f>IF(G246-G243&lt;0,G243-G246,0)</f>
        <v>20000</v>
      </c>
      <c r="H257" s="550"/>
    </row>
    <row r="258" spans="1:8" ht="14.1" customHeight="1">
      <c r="A258" s="547"/>
      <c r="B258" s="549">
        <f>B255</f>
        <v>310</v>
      </c>
      <c r="C258" s="549" t="str">
        <f>C255</f>
        <v>Marchandises</v>
      </c>
      <c r="D258" s="549"/>
      <c r="E258" s="549"/>
      <c r="F258" s="549"/>
      <c r="G258" s="549"/>
      <c r="H258" s="550">
        <f>G257</f>
        <v>20000</v>
      </c>
    </row>
    <row r="259" spans="1:8" ht="14.1" customHeight="1">
      <c r="A259" s="1256" t="s">
        <v>891</v>
      </c>
      <c r="B259" s="1257"/>
      <c r="C259" s="549"/>
      <c r="D259" s="549"/>
      <c r="E259" s="549"/>
      <c r="F259" s="549"/>
      <c r="G259" s="549"/>
      <c r="H259" s="550"/>
    </row>
    <row r="260" spans="1:8" ht="14.1" customHeight="1">
      <c r="A260" s="551">
        <f>B258</f>
        <v>310</v>
      </c>
      <c r="B260" s="551" t="str">
        <f>C258</f>
        <v>Marchandises</v>
      </c>
      <c r="C260" s="549"/>
      <c r="D260" s="549"/>
      <c r="E260" s="549"/>
      <c r="F260" s="549"/>
      <c r="G260" s="549">
        <f>IF(G246-G243 &lt;0,0,G246-G243)</f>
        <v>0</v>
      </c>
      <c r="H260" s="550"/>
    </row>
    <row r="261" spans="1:8" ht="14.1" customHeight="1">
      <c r="A261" s="569"/>
      <c r="B261" s="570">
        <f>A257</f>
        <v>6031</v>
      </c>
      <c r="C261" s="570" t="str">
        <f>B257</f>
        <v xml:space="preserve">Variations : stocks marchandises </v>
      </c>
      <c r="D261" s="571"/>
      <c r="E261" s="571"/>
      <c r="F261" s="571"/>
      <c r="G261" s="571"/>
      <c r="H261" s="572">
        <f>G260</f>
        <v>0</v>
      </c>
    </row>
    <row r="263" spans="1:8" ht="14.1" customHeight="1">
      <c r="A263" s="1255" t="s">
        <v>914</v>
      </c>
      <c r="B263" s="1258"/>
      <c r="C263" s="545"/>
      <c r="D263" s="545"/>
      <c r="E263" s="545"/>
      <c r="F263" s="545"/>
      <c r="G263" s="555">
        <v>50000</v>
      </c>
      <c r="H263" s="546"/>
    </row>
    <row r="264" spans="1:8" ht="14.1" customHeight="1">
      <c r="A264" s="549" t="s">
        <v>887</v>
      </c>
      <c r="B264" s="549"/>
      <c r="C264" s="549"/>
      <c r="D264" s="549"/>
      <c r="E264" s="549"/>
      <c r="F264" s="549"/>
      <c r="G264" s="555">
        <v>100000</v>
      </c>
      <c r="H264" s="550"/>
    </row>
    <row r="265" spans="1:8" ht="14.1" customHeight="1">
      <c r="A265" s="549" t="s">
        <v>888</v>
      </c>
      <c r="B265" s="549"/>
      <c r="C265" s="549"/>
      <c r="D265" s="549"/>
      <c r="E265" s="549"/>
      <c r="F265" s="549"/>
      <c r="G265" s="555">
        <v>120000</v>
      </c>
      <c r="H265" s="550"/>
    </row>
    <row r="266" spans="1:8" ht="14.1" customHeight="1">
      <c r="A266" s="1219" t="str">
        <f>IF(G265-G264&lt;0,"stocks final augmentation","Stocks final diminution")</f>
        <v>Stocks final diminution</v>
      </c>
      <c r="B266" s="568"/>
      <c r="C266" s="549" t="s">
        <v>893</v>
      </c>
      <c r="D266" s="549"/>
      <c r="E266" s="549"/>
      <c r="F266" s="549"/>
      <c r="G266" s="568">
        <f>G263+G264-G265</f>
        <v>30000</v>
      </c>
      <c r="H266" s="550"/>
    </row>
    <row r="267" spans="1:8" ht="14.1" customHeight="1">
      <c r="A267" s="549"/>
      <c r="B267" s="549"/>
      <c r="C267" s="549"/>
      <c r="D267" s="549"/>
      <c r="E267" s="549"/>
      <c r="F267" s="549"/>
      <c r="G267" s="549"/>
      <c r="H267" s="550"/>
    </row>
    <row r="268" spans="1:8" ht="14.1" customHeight="1">
      <c r="A268" s="573">
        <v>6011</v>
      </c>
      <c r="B268" s="573" t="s">
        <v>351</v>
      </c>
      <c r="C268" s="549"/>
      <c r="D268" s="549"/>
      <c r="E268" s="549"/>
      <c r="F268" s="549"/>
      <c r="G268" s="549">
        <f>G264</f>
        <v>100000</v>
      </c>
      <c r="H268" s="550"/>
    </row>
    <row r="269" spans="1:8" ht="14.1" customHeight="1">
      <c r="A269" s="549"/>
      <c r="B269" s="549">
        <v>4011</v>
      </c>
      <c r="C269" s="549" t="s">
        <v>825</v>
      </c>
      <c r="D269" s="549"/>
      <c r="E269" s="549"/>
      <c r="F269" s="549"/>
      <c r="G269" s="549"/>
      <c r="H269" s="550">
        <f>G268</f>
        <v>100000</v>
      </c>
    </row>
    <row r="270" spans="1:8" ht="14.1" customHeight="1">
      <c r="A270" s="549"/>
      <c r="B270" s="549"/>
      <c r="C270" s="549"/>
      <c r="D270" s="549"/>
      <c r="E270" s="549"/>
      <c r="F270" s="549"/>
      <c r="G270" s="549"/>
      <c r="H270" s="550"/>
    </row>
    <row r="271" spans="1:8" ht="14.1" customHeight="1">
      <c r="A271" s="552">
        <v>320</v>
      </c>
      <c r="B271" s="552" t="s">
        <v>323</v>
      </c>
      <c r="C271" s="549"/>
      <c r="D271" s="549"/>
      <c r="E271" s="549"/>
      <c r="F271" s="549"/>
      <c r="G271" s="549">
        <f>H272</f>
        <v>100000</v>
      </c>
      <c r="H271" s="550"/>
    </row>
    <row r="272" spans="1:8" ht="14.1" customHeight="1">
      <c r="A272" s="549"/>
      <c r="B272" s="573">
        <v>6032</v>
      </c>
      <c r="C272" s="573" t="s">
        <v>894</v>
      </c>
      <c r="D272" s="549"/>
      <c r="E272" s="549"/>
      <c r="F272" s="549"/>
      <c r="G272" s="549"/>
      <c r="H272" s="550">
        <f>G268</f>
        <v>100000</v>
      </c>
    </row>
    <row r="273" spans="1:8" ht="14.1" customHeight="1">
      <c r="A273" s="549"/>
      <c r="B273" s="549"/>
      <c r="C273" s="549"/>
      <c r="D273" s="549"/>
      <c r="E273" s="549"/>
      <c r="F273" s="549"/>
      <c r="G273" s="549"/>
      <c r="H273" s="550"/>
    </row>
    <row r="274" spans="1:8" ht="14.1" customHeight="1">
      <c r="A274" s="552">
        <f>B272</f>
        <v>6032</v>
      </c>
      <c r="B274" s="552" t="str">
        <f>C272</f>
        <v>Variations. Mat. premières, fournit. Dim</v>
      </c>
      <c r="C274" s="549"/>
      <c r="D274" s="549"/>
      <c r="E274" s="549"/>
      <c r="F274" s="549"/>
      <c r="G274" s="549">
        <f>G265</f>
        <v>120000</v>
      </c>
      <c r="H274" s="550"/>
    </row>
    <row r="275" spans="1:8" ht="14.1" customHeight="1">
      <c r="A275" s="549"/>
      <c r="B275" s="552">
        <f>A271</f>
        <v>320</v>
      </c>
      <c r="C275" s="552" t="str">
        <f>B271</f>
        <v>Marchandises</v>
      </c>
      <c r="D275" s="549"/>
      <c r="E275" s="549"/>
      <c r="F275" s="549"/>
      <c r="G275" s="549"/>
      <c r="H275" s="550">
        <f>G274</f>
        <v>120000</v>
      </c>
    </row>
    <row r="276" spans="1:8" ht="14.1" customHeight="1">
      <c r="A276" s="1257" t="s">
        <v>890</v>
      </c>
      <c r="B276" s="1257"/>
      <c r="C276" s="549"/>
      <c r="D276" s="549"/>
      <c r="E276" s="549"/>
      <c r="F276" s="549"/>
      <c r="G276" s="549"/>
      <c r="H276" s="550"/>
    </row>
    <row r="277" spans="1:8" ht="14.1" customHeight="1">
      <c r="A277" s="552">
        <f>A274</f>
        <v>6032</v>
      </c>
      <c r="B277" s="552" t="str">
        <f>B274</f>
        <v>Variations. Mat. premières, fournit. Dim</v>
      </c>
      <c r="C277" s="549"/>
      <c r="D277" s="549"/>
      <c r="E277" s="549"/>
      <c r="F277" s="549"/>
      <c r="G277" s="549">
        <f>IF(G266-G263&lt;0,G263-G266,0)</f>
        <v>20000</v>
      </c>
      <c r="H277" s="550"/>
    </row>
    <row r="278" spans="1:8" ht="14.1" customHeight="1">
      <c r="A278" s="547"/>
      <c r="B278" s="549">
        <f>B275</f>
        <v>320</v>
      </c>
      <c r="C278" s="549" t="str">
        <f>C275</f>
        <v>Marchandises</v>
      </c>
      <c r="D278" s="549"/>
      <c r="E278" s="549"/>
      <c r="F278" s="549"/>
      <c r="G278" s="549"/>
      <c r="H278" s="550">
        <f>G277</f>
        <v>20000</v>
      </c>
    </row>
    <row r="279" spans="1:8" ht="14.1" customHeight="1">
      <c r="A279" s="1256" t="s">
        <v>891</v>
      </c>
      <c r="B279" s="1257"/>
      <c r="C279" s="549"/>
      <c r="D279" s="549"/>
      <c r="E279" s="549"/>
      <c r="F279" s="549"/>
      <c r="G279" s="549"/>
      <c r="H279" s="550"/>
    </row>
    <row r="280" spans="1:8" ht="14.1" customHeight="1">
      <c r="A280" s="551">
        <f>B278</f>
        <v>320</v>
      </c>
      <c r="B280" s="551" t="str">
        <f>C278</f>
        <v>Marchandises</v>
      </c>
      <c r="C280" s="549"/>
      <c r="D280" s="549"/>
      <c r="E280" s="549"/>
      <c r="F280" s="549"/>
      <c r="G280" s="549">
        <f>IF(G266-G263 &lt;0,0,G266-G263)</f>
        <v>0</v>
      </c>
      <c r="H280" s="550"/>
    </row>
    <row r="281" spans="1:8" ht="14.1" customHeight="1">
      <c r="A281" s="569"/>
      <c r="B281" s="570">
        <f>A277</f>
        <v>6032</v>
      </c>
      <c r="C281" s="570" t="str">
        <f>B277</f>
        <v>Variations. Mat. premières, fournit. Dim</v>
      </c>
      <c r="D281" s="571"/>
      <c r="E281" s="571"/>
      <c r="F281" s="571"/>
      <c r="G281" s="571"/>
      <c r="H281" s="572">
        <f>G280</f>
        <v>0</v>
      </c>
    </row>
    <row r="284" spans="1:8" ht="14.1" customHeight="1">
      <c r="A284" s="1255" t="s">
        <v>913</v>
      </c>
      <c r="B284" s="1258"/>
      <c r="C284" s="545"/>
      <c r="D284" s="545"/>
      <c r="E284" s="545"/>
      <c r="F284" s="545"/>
      <c r="G284" s="555">
        <v>100000</v>
      </c>
      <c r="H284" s="546"/>
    </row>
    <row r="285" spans="1:8" ht="14.1" customHeight="1">
      <c r="A285" s="547" t="s">
        <v>887</v>
      </c>
      <c r="B285" s="549"/>
      <c r="C285" s="549"/>
      <c r="D285" s="549"/>
      <c r="E285" s="549"/>
      <c r="F285" s="549"/>
      <c r="G285" s="555">
        <v>100000</v>
      </c>
      <c r="H285" s="550"/>
    </row>
    <row r="286" spans="1:8" ht="14.1" customHeight="1">
      <c r="A286" s="549" t="s">
        <v>888</v>
      </c>
      <c r="B286" s="549"/>
      <c r="C286" s="549"/>
      <c r="D286" s="549"/>
      <c r="E286" s="549"/>
      <c r="F286" s="549"/>
      <c r="G286" s="555">
        <v>120000</v>
      </c>
      <c r="H286" s="550"/>
    </row>
    <row r="287" spans="1:8" ht="14.1" customHeight="1">
      <c r="A287" s="1219" t="str">
        <f>IF(G286-G285&lt;0,"stocks final augmentation","Stocks final diminution")</f>
        <v>Stocks final diminution</v>
      </c>
      <c r="B287" s="568"/>
      <c r="C287" s="549" t="s">
        <v>893</v>
      </c>
      <c r="D287" s="549"/>
      <c r="E287" s="549"/>
      <c r="F287" s="549"/>
      <c r="G287" s="568">
        <f>G284+G285-G286</f>
        <v>80000</v>
      </c>
      <c r="H287" s="550"/>
    </row>
    <row r="288" spans="1:8" ht="14.1" customHeight="1">
      <c r="A288" s="549"/>
      <c r="B288" s="549"/>
      <c r="C288" s="549"/>
      <c r="D288" s="549"/>
      <c r="E288" s="549"/>
      <c r="F288" s="549"/>
      <c r="G288" s="549"/>
      <c r="H288" s="550"/>
    </row>
    <row r="289" spans="1:8" ht="14.1" customHeight="1">
      <c r="A289" s="574">
        <v>370</v>
      </c>
      <c r="B289" s="575" t="s">
        <v>325</v>
      </c>
      <c r="C289" s="549"/>
      <c r="D289" s="549"/>
      <c r="E289" s="549"/>
      <c r="F289" s="549"/>
      <c r="G289" s="549">
        <f>G285</f>
        <v>100000</v>
      </c>
      <c r="H289" s="550"/>
    </row>
    <row r="290" spans="1:8" ht="14.1" customHeight="1">
      <c r="A290" s="549"/>
      <c r="B290" s="549">
        <v>4011</v>
      </c>
      <c r="C290" s="549" t="s">
        <v>825</v>
      </c>
      <c r="D290" s="549"/>
      <c r="E290" s="549"/>
      <c r="F290" s="549"/>
      <c r="G290" s="549"/>
      <c r="H290" s="550">
        <f>G289</f>
        <v>100000</v>
      </c>
    </row>
    <row r="291" spans="1:8" ht="14.1" customHeight="1">
      <c r="A291" s="549"/>
      <c r="B291" s="549"/>
      <c r="C291" s="549"/>
      <c r="D291" s="549"/>
      <c r="E291" s="549"/>
      <c r="F291" s="549"/>
      <c r="G291" s="549"/>
      <c r="H291" s="550"/>
    </row>
    <row r="292" spans="1:8" ht="14.1" customHeight="1">
      <c r="A292" s="552">
        <f>A289</f>
        <v>370</v>
      </c>
      <c r="B292" s="552" t="str">
        <f>B289</f>
        <v>Produits intermèdiaires., résiduels</v>
      </c>
      <c r="C292" s="549"/>
      <c r="D292" s="549"/>
      <c r="E292" s="549"/>
      <c r="F292" s="549"/>
      <c r="G292" s="549">
        <f>H293</f>
        <v>100000</v>
      </c>
      <c r="H292" s="550"/>
    </row>
    <row r="293" spans="1:8" ht="14.1" customHeight="1">
      <c r="A293" s="549"/>
      <c r="B293" s="574">
        <v>6034</v>
      </c>
      <c r="C293" s="575" t="s">
        <v>906</v>
      </c>
      <c r="D293" s="549"/>
      <c r="E293" s="549"/>
      <c r="F293" s="549"/>
      <c r="G293" s="549"/>
      <c r="H293" s="550">
        <f>G289</f>
        <v>100000</v>
      </c>
    </row>
    <row r="294" spans="1:8" ht="14.1" customHeight="1">
      <c r="A294" s="549"/>
      <c r="B294" s="549"/>
      <c r="C294" s="549"/>
      <c r="D294" s="549"/>
      <c r="E294" s="549"/>
      <c r="F294" s="549"/>
      <c r="G294" s="549"/>
      <c r="H294" s="550"/>
    </row>
    <row r="295" spans="1:8" ht="14.1" customHeight="1">
      <c r="A295" s="552">
        <f>B293</f>
        <v>6034</v>
      </c>
      <c r="B295" s="552" t="str">
        <f>C293</f>
        <v>Variations. produits résiduels et intermédiaires aug</v>
      </c>
      <c r="C295" s="549"/>
      <c r="D295" s="549"/>
      <c r="E295" s="549"/>
      <c r="F295" s="549"/>
      <c r="G295" s="549">
        <f>G286</f>
        <v>120000</v>
      </c>
      <c r="H295" s="550"/>
    </row>
    <row r="296" spans="1:8" ht="14.1" customHeight="1">
      <c r="A296" s="549"/>
      <c r="B296" s="552">
        <f>A292</f>
        <v>370</v>
      </c>
      <c r="C296" s="552" t="str">
        <f>B292</f>
        <v>Produits intermèdiaires., résiduels</v>
      </c>
      <c r="D296" s="549"/>
      <c r="E296" s="549"/>
      <c r="F296" s="549"/>
      <c r="G296" s="549"/>
      <c r="H296" s="550">
        <f>G295</f>
        <v>120000</v>
      </c>
    </row>
    <row r="297" spans="1:8" ht="14.1" customHeight="1">
      <c r="A297" s="1256" t="s">
        <v>890</v>
      </c>
      <c r="B297" s="1257"/>
      <c r="C297" s="549"/>
      <c r="D297" s="549"/>
      <c r="E297" s="549"/>
      <c r="F297" s="549"/>
      <c r="G297" s="549"/>
      <c r="H297" s="550"/>
    </row>
    <row r="298" spans="1:8" ht="14.1" customHeight="1">
      <c r="A298" s="551">
        <f>A295</f>
        <v>6034</v>
      </c>
      <c r="B298" s="551" t="str">
        <f>B295</f>
        <v>Variations. produits résiduels et intermédiaires aug</v>
      </c>
      <c r="C298" s="549"/>
      <c r="D298" s="549"/>
      <c r="E298" s="549"/>
      <c r="F298" s="549"/>
      <c r="G298" s="549">
        <f>IF(G287-G284&lt;0,G284-G287,0)</f>
        <v>20000</v>
      </c>
      <c r="H298" s="550"/>
    </row>
    <row r="299" spans="1:8" ht="14.1" customHeight="1">
      <c r="A299" s="547"/>
      <c r="B299" s="549">
        <f>B296</f>
        <v>370</v>
      </c>
      <c r="C299" s="549" t="str">
        <f>C296</f>
        <v>Produits intermèdiaires., résiduels</v>
      </c>
      <c r="D299" s="549"/>
      <c r="E299" s="549"/>
      <c r="F299" s="549"/>
      <c r="G299" s="549"/>
      <c r="H299" s="550">
        <f>G298</f>
        <v>20000</v>
      </c>
    </row>
    <row r="300" spans="1:8" ht="14.1" customHeight="1">
      <c r="A300" s="1256" t="s">
        <v>891</v>
      </c>
      <c r="B300" s="1257"/>
      <c r="C300" s="549"/>
      <c r="D300" s="549"/>
      <c r="E300" s="549"/>
      <c r="F300" s="549"/>
      <c r="G300" s="549"/>
      <c r="H300" s="550"/>
    </row>
    <row r="301" spans="1:8" ht="14.1" customHeight="1">
      <c r="A301" s="551">
        <f>B299</f>
        <v>370</v>
      </c>
      <c r="B301" s="551" t="str">
        <f>C299</f>
        <v>Produits intermèdiaires., résiduels</v>
      </c>
      <c r="C301" s="549"/>
      <c r="D301" s="549"/>
      <c r="E301" s="549"/>
      <c r="F301" s="549"/>
      <c r="G301" s="549">
        <f>IF(G287-G284 &lt;0,0,G287-G284)</f>
        <v>0</v>
      </c>
      <c r="H301" s="550"/>
    </row>
    <row r="302" spans="1:8" ht="14.1" customHeight="1">
      <c r="A302" s="569"/>
      <c r="B302" s="570">
        <f>A298</f>
        <v>6034</v>
      </c>
      <c r="C302" s="570" t="str">
        <f>B298</f>
        <v>Variations. produits résiduels et intermédiaires aug</v>
      </c>
      <c r="D302" s="571"/>
      <c r="E302" s="571"/>
      <c r="F302" s="571"/>
      <c r="G302" s="571"/>
      <c r="H302" s="572">
        <f>G301</f>
        <v>0</v>
      </c>
    </row>
    <row r="304" spans="1:8" ht="14.1" customHeight="1">
      <c r="A304" s="1255" t="s">
        <v>912</v>
      </c>
      <c r="B304" s="1258"/>
      <c r="C304" s="545"/>
      <c r="D304" s="545"/>
      <c r="E304" s="545"/>
      <c r="F304" s="545"/>
      <c r="G304" s="555">
        <v>100000</v>
      </c>
      <c r="H304" s="546"/>
    </row>
    <row r="305" spans="1:8" ht="14.1" customHeight="1">
      <c r="A305" s="547" t="s">
        <v>887</v>
      </c>
      <c r="B305" s="549"/>
      <c r="C305" s="549"/>
      <c r="D305" s="549"/>
      <c r="E305" s="549"/>
      <c r="F305" s="549"/>
      <c r="G305" s="555">
        <v>100000</v>
      </c>
      <c r="H305" s="550"/>
    </row>
    <row r="306" spans="1:8" ht="14.1" customHeight="1">
      <c r="A306" s="547" t="s">
        <v>888</v>
      </c>
      <c r="B306" s="549"/>
      <c r="C306" s="549"/>
      <c r="D306" s="549"/>
      <c r="E306" s="549"/>
      <c r="F306" s="549"/>
      <c r="G306" s="555">
        <v>120000</v>
      </c>
      <c r="H306" s="550"/>
    </row>
    <row r="307" spans="1:8" ht="14.1" customHeight="1">
      <c r="A307" s="1218" t="str">
        <f>IF(G306-G305&lt;0,"stocks final augmentation","Stocks final diminution")</f>
        <v>Stocks final diminution</v>
      </c>
      <c r="B307" s="568"/>
      <c r="C307" s="549" t="s">
        <v>893</v>
      </c>
      <c r="D307" s="549"/>
      <c r="E307" s="549"/>
      <c r="F307" s="549"/>
      <c r="G307" s="568">
        <f>G304+G305-G306</f>
        <v>80000</v>
      </c>
      <c r="H307" s="550"/>
    </row>
    <row r="308" spans="1:8" ht="14.1" customHeight="1">
      <c r="A308" s="547"/>
      <c r="B308" s="549"/>
      <c r="C308" s="549"/>
      <c r="D308" s="549"/>
      <c r="E308" s="549"/>
      <c r="F308" s="549"/>
      <c r="G308" s="549"/>
      <c r="H308" s="550"/>
    </row>
    <row r="309" spans="1:8" ht="14.1" customHeight="1">
      <c r="A309" s="1256" t="s">
        <v>890</v>
      </c>
      <c r="B309" s="1257"/>
      <c r="C309" s="549"/>
      <c r="D309" s="549"/>
      <c r="E309" s="549"/>
      <c r="F309" s="549"/>
      <c r="G309" s="549"/>
      <c r="H309" s="550"/>
    </row>
    <row r="310" spans="1:8" ht="14.1" customHeight="1">
      <c r="A310" s="576">
        <v>6035</v>
      </c>
      <c r="B310" s="575" t="s">
        <v>911</v>
      </c>
      <c r="C310" s="549"/>
      <c r="D310" s="549"/>
      <c r="E310" s="549"/>
      <c r="F310" s="549"/>
      <c r="G310" s="549">
        <f>IF(G307-G304&lt;0,G304-G307,0)</f>
        <v>20000</v>
      </c>
      <c r="H310" s="550"/>
    </row>
    <row r="311" spans="1:8" ht="14.1" customHeight="1">
      <c r="A311" s="547"/>
      <c r="B311" s="574">
        <v>340</v>
      </c>
      <c r="C311" s="575" t="s">
        <v>909</v>
      </c>
      <c r="D311" s="549"/>
      <c r="E311" s="549"/>
      <c r="F311" s="549"/>
      <c r="G311" s="549"/>
      <c r="H311" s="550">
        <f>G310</f>
        <v>20000</v>
      </c>
    </row>
    <row r="312" spans="1:8" ht="14.1" customHeight="1">
      <c r="A312" s="1256" t="s">
        <v>891</v>
      </c>
      <c r="B312" s="1257"/>
      <c r="C312" s="549"/>
      <c r="D312" s="549"/>
      <c r="E312" s="549"/>
      <c r="F312" s="549"/>
      <c r="G312" s="549"/>
      <c r="H312" s="550"/>
    </row>
    <row r="313" spans="1:8" ht="14.1" customHeight="1">
      <c r="A313" s="551">
        <f>B311</f>
        <v>340</v>
      </c>
      <c r="B313" s="552" t="str">
        <f>C311</f>
        <v>En-cours de produits</v>
      </c>
      <c r="C313" s="549"/>
      <c r="D313" s="549"/>
      <c r="E313" s="549"/>
      <c r="F313" s="549"/>
      <c r="G313" s="549">
        <f>IF(G307-G304 &lt;0,0,G307-G304)</f>
        <v>0</v>
      </c>
      <c r="H313" s="550"/>
    </row>
    <row r="314" spans="1:8" ht="14.1" customHeight="1">
      <c r="A314" s="569"/>
      <c r="B314" s="570">
        <f>A310</f>
        <v>6035</v>
      </c>
      <c r="C314" s="570" t="str">
        <f>B310</f>
        <v>Variation des encours de produit Dim</v>
      </c>
      <c r="D314" s="571"/>
      <c r="E314" s="571"/>
      <c r="F314" s="571"/>
      <c r="G314" s="571"/>
      <c r="H314" s="572">
        <f>G313</f>
        <v>0</v>
      </c>
    </row>
    <row r="316" spans="1:8" ht="14.1" customHeight="1">
      <c r="A316" s="1220" t="s">
        <v>1171</v>
      </c>
      <c r="B316" s="545"/>
      <c r="C316" s="545"/>
      <c r="D316" s="545"/>
      <c r="E316" s="545"/>
      <c r="F316" s="545"/>
      <c r="G316" s="555">
        <v>1000</v>
      </c>
      <c r="H316" s="546"/>
    </row>
    <row r="317" spans="1:8" ht="14.1" customHeight="1">
      <c r="A317" s="547" t="s">
        <v>887</v>
      </c>
      <c r="B317" s="549"/>
      <c r="C317" s="549"/>
      <c r="D317" s="549"/>
      <c r="E317" s="549"/>
      <c r="F317" s="549"/>
      <c r="G317" s="555">
        <v>500</v>
      </c>
      <c r="H317" s="550"/>
    </row>
    <row r="318" spans="1:8" ht="14.1" customHeight="1">
      <c r="A318" s="547" t="s">
        <v>1169</v>
      </c>
      <c r="B318" s="549"/>
      <c r="C318" s="549"/>
      <c r="D318" s="549"/>
      <c r="E318" s="549"/>
      <c r="F318" s="549"/>
      <c r="G318" s="549">
        <f>SUM(G316:G317)</f>
        <v>1500</v>
      </c>
      <c r="H318" s="550"/>
    </row>
    <row r="319" spans="1:8" ht="14.1" customHeight="1">
      <c r="A319" s="547" t="s">
        <v>1167</v>
      </c>
      <c r="B319" s="549"/>
      <c r="C319" s="549"/>
      <c r="D319" s="549"/>
      <c r="E319" s="549"/>
      <c r="F319" s="549"/>
      <c r="G319" s="555">
        <v>200</v>
      </c>
      <c r="H319" s="550"/>
    </row>
    <row r="320" spans="1:8" ht="14.1" customHeight="1">
      <c r="A320" s="547"/>
      <c r="B320" s="549"/>
      <c r="C320" s="549"/>
      <c r="D320" s="549"/>
      <c r="E320" s="549"/>
      <c r="F320" s="549"/>
      <c r="G320" s="549"/>
      <c r="H320" s="550"/>
    </row>
    <row r="321" spans="1:9" ht="14.1" customHeight="1">
      <c r="A321" s="1256" t="s">
        <v>891</v>
      </c>
      <c r="B321" s="1257"/>
      <c r="C321" s="549"/>
      <c r="D321" s="549"/>
      <c r="E321" s="549"/>
      <c r="F321" s="549"/>
      <c r="G321" s="549"/>
      <c r="H321" s="550"/>
    </row>
    <row r="322" spans="1:9" ht="14.1" customHeight="1">
      <c r="A322" s="576">
        <v>361</v>
      </c>
      <c r="B322" s="575" t="s">
        <v>1165</v>
      </c>
      <c r="C322" s="549"/>
      <c r="D322" s="549"/>
      <c r="E322" s="549"/>
      <c r="F322" s="549"/>
      <c r="G322" s="549">
        <f>G317</f>
        <v>500</v>
      </c>
      <c r="H322" s="550"/>
    </row>
    <row r="323" spans="1:9" ht="14.1" customHeight="1">
      <c r="A323" s="547"/>
      <c r="B323" s="574">
        <v>7360</v>
      </c>
      <c r="C323" s="575" t="s">
        <v>1166</v>
      </c>
      <c r="D323" s="549"/>
      <c r="E323" s="549"/>
      <c r="F323" s="549"/>
      <c r="G323" s="549"/>
      <c r="H323" s="550">
        <f>G322</f>
        <v>500</v>
      </c>
    </row>
    <row r="324" spans="1:9" ht="14.1" customHeight="1">
      <c r="A324" s="1256" t="s">
        <v>1168</v>
      </c>
      <c r="B324" s="1259"/>
      <c r="C324" s="575"/>
      <c r="D324" s="549"/>
      <c r="E324" s="549"/>
      <c r="F324" s="549"/>
      <c r="G324" s="549"/>
      <c r="H324" s="550"/>
    </row>
    <row r="325" spans="1:9" ht="14.1" customHeight="1">
      <c r="A325" s="547">
        <f>B323</f>
        <v>7360</v>
      </c>
      <c r="B325" s="547" t="str">
        <f>C323</f>
        <v>Variation de stocks de produit</v>
      </c>
      <c r="C325" s="575"/>
      <c r="D325" s="549"/>
      <c r="E325" s="549"/>
      <c r="F325" s="549"/>
      <c r="G325" s="549">
        <f>G318</f>
        <v>1500</v>
      </c>
      <c r="H325" s="550"/>
    </row>
    <row r="326" spans="1:9" ht="14.1" customHeight="1">
      <c r="A326" s="547"/>
      <c r="B326" s="574">
        <f>A322</f>
        <v>361</v>
      </c>
      <c r="C326" s="574" t="str">
        <f>B322</f>
        <v>stocks de produits finis</v>
      </c>
      <c r="D326" s="549"/>
      <c r="E326" s="549"/>
      <c r="F326" s="549"/>
      <c r="G326" s="549"/>
      <c r="H326" s="550">
        <f>G325</f>
        <v>1500</v>
      </c>
    </row>
    <row r="327" spans="1:9" ht="14.1" customHeight="1">
      <c r="A327" s="1256" t="s">
        <v>1170</v>
      </c>
      <c r="B327" s="1257"/>
      <c r="C327" s="549"/>
      <c r="D327" s="549"/>
      <c r="E327" s="549"/>
      <c r="F327" s="549"/>
      <c r="G327" s="549"/>
      <c r="H327" s="550"/>
    </row>
    <row r="328" spans="1:9" ht="14.1" customHeight="1">
      <c r="A328" s="551">
        <f>A322</f>
        <v>361</v>
      </c>
      <c r="B328" s="551" t="str">
        <f>B322</f>
        <v>stocks de produits finis</v>
      </c>
      <c r="C328" s="549"/>
      <c r="D328" s="549"/>
      <c r="E328" s="549"/>
      <c r="F328" s="549"/>
      <c r="G328" s="549">
        <f>G319</f>
        <v>200</v>
      </c>
      <c r="H328" s="550"/>
    </row>
    <row r="329" spans="1:9" ht="14.1" customHeight="1">
      <c r="A329" s="569"/>
      <c r="B329" s="570">
        <f>B323</f>
        <v>7360</v>
      </c>
      <c r="C329" s="570" t="str">
        <f>C323</f>
        <v>Variation de stocks de produit</v>
      </c>
      <c r="D329" s="571"/>
      <c r="E329" s="571"/>
      <c r="F329" s="571"/>
      <c r="G329" s="571"/>
      <c r="H329" s="572">
        <f>G328</f>
        <v>200</v>
      </c>
    </row>
    <row r="331" spans="1:9" ht="14.1" customHeight="1">
      <c r="A331" s="1260" t="s">
        <v>1173</v>
      </c>
      <c r="B331" s="1260"/>
      <c r="C331" s="1261"/>
    </row>
    <row r="332" spans="1:9" ht="14.1" customHeight="1">
      <c r="B332" s="634"/>
    </row>
    <row r="333" spans="1:9" ht="14.1" customHeight="1">
      <c r="A333" s="1262" t="s">
        <v>997</v>
      </c>
      <c r="B333" s="1263"/>
      <c r="C333" s="1263"/>
      <c r="D333" s="352"/>
      <c r="E333" s="352"/>
      <c r="F333" s="352"/>
      <c r="G333" s="352"/>
      <c r="H333" s="353"/>
      <c r="I333" s="577"/>
    </row>
    <row r="334" spans="1:9" ht="14.1" customHeight="1">
      <c r="A334" s="354" t="s">
        <v>998</v>
      </c>
      <c r="B334" s="349"/>
      <c r="C334" s="349"/>
      <c r="D334" s="349"/>
      <c r="E334" s="349"/>
      <c r="F334" s="349"/>
      <c r="G334" s="349"/>
      <c r="H334" s="355"/>
      <c r="I334" s="577"/>
    </row>
    <row r="335" spans="1:9" ht="14.1" customHeight="1">
      <c r="A335" s="590">
        <v>16</v>
      </c>
      <c r="B335" s="590">
        <v>5</v>
      </c>
      <c r="C335" s="591">
        <v>2000</v>
      </c>
      <c r="D335" s="350"/>
      <c r="E335" s="350" t="s">
        <v>26</v>
      </c>
      <c r="F335" s="349"/>
      <c r="G335" s="532">
        <v>100000</v>
      </c>
      <c r="H335" s="355"/>
      <c r="I335" s="577"/>
    </row>
    <row r="336" spans="1:9" ht="14.1" customHeight="1">
      <c r="A336" s="354"/>
      <c r="B336" s="349"/>
      <c r="C336" s="349"/>
      <c r="D336" s="349"/>
      <c r="E336" s="349"/>
      <c r="F336" s="349"/>
      <c r="G336" s="351"/>
      <c r="H336" s="355"/>
      <c r="I336" s="577"/>
    </row>
    <row r="337" spans="1:9" ht="14.1" customHeight="1">
      <c r="A337" s="354" t="s">
        <v>984</v>
      </c>
      <c r="B337" s="349"/>
      <c r="C337" s="349"/>
      <c r="D337" s="349"/>
      <c r="E337" s="349"/>
      <c r="F337" s="349"/>
      <c r="G337" s="349"/>
      <c r="H337" s="355"/>
      <c r="I337" s="577"/>
    </row>
    <row r="338" spans="1:9" ht="14.1" customHeight="1">
      <c r="A338" s="590">
        <v>31</v>
      </c>
      <c r="B338" s="590">
        <v>12</v>
      </c>
      <c r="C338" s="591">
        <v>2000</v>
      </c>
      <c r="D338" s="350"/>
      <c r="E338" s="350"/>
      <c r="F338" s="349"/>
      <c r="G338" s="349"/>
      <c r="H338" s="355"/>
      <c r="I338" s="577"/>
    </row>
    <row r="339" spans="1:9" ht="14.1" customHeight="1">
      <c r="A339" s="354"/>
      <c r="B339" s="349"/>
      <c r="C339" s="349"/>
      <c r="D339" s="349"/>
      <c r="E339" s="349"/>
      <c r="F339" s="349"/>
      <c r="G339" s="349"/>
      <c r="H339" s="355"/>
      <c r="I339" s="577"/>
    </row>
    <row r="340" spans="1:9" ht="14.1" customHeight="1">
      <c r="A340" s="354" t="s">
        <v>999</v>
      </c>
      <c r="B340" s="578"/>
      <c r="C340" s="578"/>
      <c r="D340" s="578"/>
      <c r="E340" s="578"/>
      <c r="F340" s="578"/>
      <c r="G340" s="578"/>
      <c r="H340" s="355"/>
      <c r="I340" s="577"/>
    </row>
    <row r="341" spans="1:9" ht="14.1" customHeight="1">
      <c r="A341" s="354"/>
      <c r="B341" s="574">
        <v>476</v>
      </c>
      <c r="C341" s="575" t="s">
        <v>885</v>
      </c>
      <c r="D341" s="578"/>
      <c r="E341" s="578"/>
      <c r="F341" s="578"/>
      <c r="G341" s="578">
        <f>G335</f>
        <v>100000</v>
      </c>
      <c r="H341" s="355"/>
      <c r="I341" s="577"/>
    </row>
    <row r="342" spans="1:9" ht="14.1" customHeight="1">
      <c r="A342" s="356"/>
      <c r="B342" s="357"/>
      <c r="C342" s="579">
        <v>622</v>
      </c>
      <c r="D342" s="580" t="s">
        <v>372</v>
      </c>
      <c r="E342" s="581"/>
      <c r="F342" s="581"/>
      <c r="G342" s="581"/>
      <c r="H342" s="582">
        <f>G341</f>
        <v>100000</v>
      </c>
      <c r="I342" s="577"/>
    </row>
    <row r="343" spans="1:9" ht="14.1" customHeight="1">
      <c r="A343" s="583"/>
      <c r="B343" s="583"/>
      <c r="C343" s="583"/>
      <c r="D343" s="583"/>
      <c r="E343" s="583"/>
      <c r="F343" s="583"/>
      <c r="G343" s="583"/>
      <c r="H343" s="583"/>
      <c r="I343" s="577"/>
    </row>
    <row r="344" spans="1:9" ht="14.1" customHeight="1">
      <c r="A344" s="583"/>
      <c r="B344" s="583"/>
      <c r="C344" s="583"/>
      <c r="D344" s="583"/>
      <c r="E344" s="583"/>
      <c r="F344" s="583"/>
      <c r="G344" s="583"/>
      <c r="H344" s="583"/>
      <c r="I344" s="577"/>
    </row>
    <row r="345" spans="1:9" ht="14.1" customHeight="1">
      <c r="A345" s="1262" t="s">
        <v>1001</v>
      </c>
      <c r="B345" s="1263"/>
      <c r="C345" s="1263"/>
      <c r="D345" s="352"/>
      <c r="E345" s="352"/>
      <c r="F345" s="352"/>
      <c r="G345" s="352"/>
      <c r="H345" s="353"/>
      <c r="I345" s="577"/>
    </row>
    <row r="346" spans="1:9" ht="14.1" customHeight="1">
      <c r="A346" s="354" t="s">
        <v>1000</v>
      </c>
      <c r="B346" s="349"/>
      <c r="C346" s="349"/>
      <c r="D346" s="349"/>
      <c r="E346" s="349"/>
      <c r="F346" s="349"/>
      <c r="G346" s="349"/>
      <c r="H346" s="355"/>
      <c r="I346" s="577"/>
    </row>
    <row r="347" spans="1:9" ht="14.1" customHeight="1">
      <c r="A347" s="590">
        <v>16</v>
      </c>
      <c r="B347" s="590">
        <v>6</v>
      </c>
      <c r="C347" s="591">
        <v>2002</v>
      </c>
      <c r="D347" s="350"/>
      <c r="E347" s="350" t="s">
        <v>26</v>
      </c>
      <c r="F347" s="349"/>
      <c r="G347" s="349">
        <v>1080</v>
      </c>
      <c r="H347" s="355"/>
      <c r="I347" s="577"/>
    </row>
    <row r="348" spans="1:9" ht="14.1" customHeight="1">
      <c r="A348" s="354"/>
      <c r="B348" s="349"/>
      <c r="C348" s="349"/>
      <c r="D348" s="349"/>
      <c r="E348" s="349"/>
      <c r="F348" s="349"/>
      <c r="G348" s="349"/>
      <c r="H348" s="355"/>
      <c r="I348" s="577"/>
    </row>
    <row r="349" spans="1:9" ht="14.1" customHeight="1">
      <c r="A349" s="354" t="s">
        <v>984</v>
      </c>
      <c r="B349" s="349"/>
      <c r="C349" s="349"/>
      <c r="D349" s="349"/>
      <c r="E349" s="349"/>
      <c r="F349" s="349"/>
      <c r="G349" s="349"/>
      <c r="H349" s="355"/>
      <c r="I349" s="577"/>
    </row>
    <row r="350" spans="1:9" ht="14.1" customHeight="1">
      <c r="A350" s="590">
        <v>31</v>
      </c>
      <c r="B350" s="590">
        <v>12</v>
      </c>
      <c r="C350" s="591">
        <v>2001</v>
      </c>
      <c r="D350" s="350"/>
      <c r="E350" s="350"/>
      <c r="F350" s="349"/>
      <c r="G350" s="349"/>
      <c r="H350" s="355"/>
      <c r="I350" s="577"/>
    </row>
    <row r="351" spans="1:9" ht="14.1" customHeight="1">
      <c r="A351" s="354"/>
      <c r="B351" s="349"/>
      <c r="C351" s="349"/>
      <c r="D351" s="349"/>
      <c r="E351" s="349"/>
      <c r="F351" s="349"/>
      <c r="G351" s="349"/>
      <c r="H351" s="355"/>
      <c r="I351" s="577"/>
    </row>
    <row r="352" spans="1:9" ht="14.1" customHeight="1">
      <c r="A352" s="354" t="s">
        <v>987</v>
      </c>
      <c r="B352" s="349"/>
      <c r="C352" s="349"/>
      <c r="D352" s="349"/>
      <c r="E352" s="349"/>
      <c r="F352" s="349"/>
      <c r="G352" s="349"/>
      <c r="H352" s="355"/>
      <c r="I352" s="577"/>
    </row>
    <row r="353" spans="1:9" ht="14.1" customHeight="1">
      <c r="A353" s="354"/>
      <c r="B353" s="574">
        <v>476</v>
      </c>
      <c r="C353" s="575" t="s">
        <v>885</v>
      </c>
      <c r="D353" s="578"/>
      <c r="E353" s="578"/>
      <c r="F353" s="578"/>
      <c r="G353" s="578">
        <f>G347</f>
        <v>1080</v>
      </c>
      <c r="H353" s="355"/>
      <c r="I353" s="577"/>
    </row>
    <row r="354" spans="1:9" ht="14.1" customHeight="1">
      <c r="A354" s="356"/>
      <c r="B354" s="357"/>
      <c r="C354" s="584">
        <v>771</v>
      </c>
      <c r="D354" s="585" t="s">
        <v>1002</v>
      </c>
      <c r="E354" s="581"/>
      <c r="F354" s="581"/>
      <c r="G354" s="581"/>
      <c r="H354" s="582">
        <f>G353</f>
        <v>1080</v>
      </c>
      <c r="I354" s="577"/>
    </row>
    <row r="355" spans="1:9" ht="14.1" customHeight="1">
      <c r="A355" s="583"/>
      <c r="B355" s="583"/>
      <c r="C355" s="583"/>
      <c r="D355" s="583"/>
      <c r="E355" s="583"/>
      <c r="F355" s="583"/>
      <c r="G355" s="583"/>
      <c r="H355" s="583"/>
      <c r="I355" s="577"/>
    </row>
    <row r="356" spans="1:9" ht="14.1" customHeight="1">
      <c r="A356" s="1262" t="s">
        <v>988</v>
      </c>
      <c r="B356" s="1263"/>
      <c r="C356" s="1263"/>
      <c r="D356" s="352"/>
      <c r="E356" s="352"/>
      <c r="F356" s="352"/>
      <c r="G356" s="352"/>
      <c r="H356" s="353"/>
      <c r="I356" s="577"/>
    </row>
    <row r="357" spans="1:9" ht="14.1" customHeight="1">
      <c r="A357" s="354" t="s">
        <v>986</v>
      </c>
      <c r="B357" s="349"/>
      <c r="C357" s="349"/>
      <c r="D357" s="349"/>
      <c r="E357" s="349"/>
      <c r="F357" s="349"/>
      <c r="G357" s="349"/>
      <c r="H357" s="355"/>
      <c r="I357" s="577"/>
    </row>
    <row r="358" spans="1:9" ht="14.1" customHeight="1">
      <c r="A358" s="590">
        <v>16</v>
      </c>
      <c r="B358" s="590">
        <v>6</v>
      </c>
      <c r="C358" s="591">
        <v>2002</v>
      </c>
      <c r="D358" s="350"/>
      <c r="E358" s="350" t="s">
        <v>26</v>
      </c>
      <c r="F358" s="349"/>
      <c r="G358" s="532">
        <v>5000</v>
      </c>
      <c r="H358" s="355"/>
      <c r="I358" s="577"/>
    </row>
    <row r="359" spans="1:9" ht="14.1" customHeight="1">
      <c r="A359" s="354"/>
      <c r="B359" s="349"/>
      <c r="C359" s="349"/>
      <c r="D359" s="349"/>
      <c r="E359" s="349"/>
      <c r="F359" s="349"/>
      <c r="G359" s="349"/>
      <c r="H359" s="355"/>
      <c r="I359" s="577"/>
    </row>
    <row r="360" spans="1:9" ht="14.1" customHeight="1">
      <c r="A360" s="354" t="s">
        <v>989</v>
      </c>
      <c r="B360" s="349"/>
      <c r="C360" s="349"/>
      <c r="D360" s="349"/>
      <c r="E360" s="349"/>
      <c r="F360" s="349"/>
      <c r="G360" s="349"/>
      <c r="H360" s="355"/>
      <c r="I360" s="577"/>
    </row>
    <row r="361" spans="1:9" ht="14.1" customHeight="1">
      <c r="A361" s="590">
        <v>31</v>
      </c>
      <c r="B361" s="590">
        <v>12</v>
      </c>
      <c r="C361" s="591">
        <v>2001</v>
      </c>
      <c r="D361" s="350"/>
      <c r="E361" s="350"/>
      <c r="F361" s="349"/>
      <c r="G361" s="349"/>
      <c r="H361" s="355"/>
      <c r="I361" s="577"/>
    </row>
    <row r="362" spans="1:9" ht="14.1" customHeight="1">
      <c r="A362" s="354"/>
      <c r="B362" s="349"/>
      <c r="C362" s="349"/>
      <c r="D362" s="349"/>
      <c r="E362" s="349"/>
      <c r="F362" s="349"/>
      <c r="G362" s="349"/>
      <c r="H362" s="355"/>
      <c r="I362" s="577"/>
    </row>
    <row r="363" spans="1:9" ht="14.1" customHeight="1">
      <c r="A363" s="354" t="s">
        <v>987</v>
      </c>
      <c r="B363" s="578"/>
      <c r="C363" s="578"/>
      <c r="D363" s="578"/>
      <c r="E363" s="578"/>
      <c r="F363" s="578"/>
      <c r="G363" s="578"/>
      <c r="H363" s="586"/>
      <c r="I363" s="577"/>
    </row>
    <row r="364" spans="1:9" ht="14.1" customHeight="1">
      <c r="A364" s="354"/>
      <c r="B364" s="574">
        <v>476</v>
      </c>
      <c r="C364" s="575" t="s">
        <v>885</v>
      </c>
      <c r="D364" s="578"/>
      <c r="E364" s="578"/>
      <c r="F364" s="578"/>
      <c r="G364" s="578">
        <f>G358</f>
        <v>5000</v>
      </c>
      <c r="H364" s="586"/>
      <c r="I364" s="577"/>
    </row>
    <row r="365" spans="1:9" ht="14.1" customHeight="1">
      <c r="A365" s="356"/>
      <c r="B365" s="357"/>
      <c r="C365" s="584">
        <v>840</v>
      </c>
      <c r="D365" s="585" t="s">
        <v>472</v>
      </c>
      <c r="E365" s="581"/>
      <c r="F365" s="581"/>
      <c r="G365" s="581"/>
      <c r="H365" s="582">
        <f>G364</f>
        <v>5000</v>
      </c>
      <c r="I365" s="577"/>
    </row>
    <row r="366" spans="1:9" ht="14.1" customHeight="1">
      <c r="A366" s="583"/>
      <c r="B366" s="583"/>
      <c r="C366" s="583"/>
      <c r="D366" s="583"/>
      <c r="E366" s="583"/>
      <c r="F366" s="583"/>
      <c r="G366" s="583"/>
      <c r="H366" s="583"/>
      <c r="I366" s="577"/>
    </row>
    <row r="367" spans="1:9" ht="14.1" customHeight="1">
      <c r="A367" s="583"/>
      <c r="B367" s="583"/>
      <c r="C367" s="583"/>
      <c r="D367" s="583"/>
      <c r="E367" s="583"/>
      <c r="F367" s="583"/>
      <c r="G367" s="583"/>
      <c r="H367" s="583"/>
      <c r="I367" s="577"/>
    </row>
    <row r="368" spans="1:9" ht="14.1" customHeight="1">
      <c r="A368" s="1262" t="s">
        <v>1003</v>
      </c>
      <c r="B368" s="1263"/>
      <c r="C368" s="1263"/>
      <c r="D368" s="352"/>
      <c r="E368" s="352"/>
      <c r="F368" s="352"/>
      <c r="G368" s="352"/>
      <c r="H368" s="353"/>
      <c r="I368" s="577"/>
    </row>
    <row r="369" spans="1:9" ht="14.1" customHeight="1">
      <c r="A369" s="354" t="s">
        <v>990</v>
      </c>
      <c r="B369" s="349"/>
      <c r="C369" s="349"/>
      <c r="D369" s="349"/>
      <c r="E369" s="349"/>
      <c r="F369" s="349"/>
      <c r="G369" s="349"/>
      <c r="H369" s="355"/>
      <c r="I369" s="577"/>
    </row>
    <row r="370" spans="1:9" ht="14.1" customHeight="1">
      <c r="A370" s="590">
        <v>1</v>
      </c>
      <c r="B370" s="590">
        <v>7</v>
      </c>
      <c r="C370" s="591">
        <v>2001</v>
      </c>
      <c r="D370" s="350"/>
      <c r="E370" s="349"/>
      <c r="F370" s="350" t="s">
        <v>1005</v>
      </c>
      <c r="G370" s="532">
        <v>10000</v>
      </c>
      <c r="H370" s="355">
        <f>G370</f>
        <v>10000</v>
      </c>
      <c r="I370" s="577"/>
    </row>
    <row r="371" spans="1:9" ht="14.1" customHeight="1">
      <c r="A371" s="354"/>
      <c r="B371" s="349"/>
      <c r="C371" s="349"/>
      <c r="D371" s="349" t="s">
        <v>31</v>
      </c>
      <c r="E371" s="351">
        <f>(360*(C373-C370))+(30*(B373-B370))+(A373-A370)</f>
        <v>180</v>
      </c>
      <c r="F371" s="349" t="s">
        <v>773</v>
      </c>
      <c r="G371" s="592">
        <v>0.04</v>
      </c>
      <c r="H371" s="355">
        <f>G370*G371</f>
        <v>400</v>
      </c>
      <c r="I371" s="577"/>
    </row>
    <row r="372" spans="1:9" ht="14.1" customHeight="1">
      <c r="A372" s="354" t="s">
        <v>991</v>
      </c>
      <c r="B372" s="349"/>
      <c r="C372" s="349"/>
      <c r="D372" s="349"/>
      <c r="E372" s="349"/>
      <c r="F372" s="349"/>
      <c r="G372" s="349"/>
      <c r="H372" s="355"/>
      <c r="I372" s="577"/>
    </row>
    <row r="373" spans="1:9" ht="14.1" customHeight="1">
      <c r="A373" s="590">
        <v>31</v>
      </c>
      <c r="B373" s="590">
        <v>12</v>
      </c>
      <c r="C373" s="591">
        <v>2001</v>
      </c>
      <c r="D373" s="350"/>
      <c r="E373" s="350"/>
      <c r="F373" s="349"/>
      <c r="G373" s="349"/>
      <c r="H373" s="355"/>
      <c r="I373" s="577"/>
    </row>
    <row r="374" spans="1:9" ht="14.1" customHeight="1">
      <c r="A374" s="354"/>
      <c r="B374" s="349"/>
      <c r="C374" s="349"/>
      <c r="D374" s="349"/>
      <c r="E374" s="349"/>
      <c r="F374" s="349"/>
      <c r="G374" s="349"/>
      <c r="H374" s="355"/>
      <c r="I374" s="577"/>
    </row>
    <row r="375" spans="1:9" ht="14.1" customHeight="1">
      <c r="A375" s="354" t="s">
        <v>1004</v>
      </c>
      <c r="B375" s="578"/>
      <c r="C375" s="578"/>
      <c r="D375" s="578"/>
      <c r="E375" s="578"/>
      <c r="F375" s="578"/>
      <c r="G375" s="578"/>
      <c r="H375" s="355"/>
      <c r="I375" s="577"/>
    </row>
    <row r="376" spans="1:9" ht="14.1" customHeight="1">
      <c r="A376" s="354"/>
      <c r="B376" s="574">
        <v>476</v>
      </c>
      <c r="C376" s="575" t="s">
        <v>885</v>
      </c>
      <c r="D376" s="578"/>
      <c r="E376" s="578"/>
      <c r="F376" s="578"/>
      <c r="G376" s="587">
        <f>H371*E371/360</f>
        <v>200</v>
      </c>
      <c r="H376" s="355"/>
      <c r="I376" s="577"/>
    </row>
    <row r="377" spans="1:9" ht="14.1" customHeight="1">
      <c r="A377" s="356"/>
      <c r="B377" s="357"/>
      <c r="C377" s="584">
        <v>771</v>
      </c>
      <c r="D377" s="585" t="s">
        <v>1002</v>
      </c>
      <c r="E377" s="581"/>
      <c r="F377" s="581"/>
      <c r="G377" s="581"/>
      <c r="H377" s="582">
        <f>G376</f>
        <v>200</v>
      </c>
      <c r="I377" s="577"/>
    </row>
    <row r="378" spans="1:9" ht="14.1" customHeight="1">
      <c r="A378" s="583"/>
      <c r="B378" s="583"/>
      <c r="C378" s="583"/>
      <c r="D378" s="583"/>
      <c r="E378" s="583"/>
      <c r="F378" s="583"/>
      <c r="G378" s="583"/>
      <c r="H378" s="583"/>
      <c r="I378" s="577"/>
    </row>
    <row r="379" spans="1:9" ht="14.1" customHeight="1">
      <c r="A379" s="1262" t="s">
        <v>992</v>
      </c>
      <c r="B379" s="1263"/>
      <c r="C379" s="1263"/>
      <c r="D379" s="352"/>
      <c r="E379" s="352"/>
      <c r="F379" s="352"/>
      <c r="G379" s="352"/>
      <c r="H379" s="353"/>
      <c r="I379" s="577"/>
    </row>
    <row r="380" spans="1:9" ht="14.1" customHeight="1">
      <c r="A380" s="354" t="s">
        <v>993</v>
      </c>
      <c r="B380" s="349"/>
      <c r="C380" s="349"/>
      <c r="D380" s="349"/>
      <c r="E380" s="349"/>
      <c r="F380" s="349"/>
      <c r="G380" s="349"/>
      <c r="H380" s="355"/>
      <c r="I380" s="577"/>
    </row>
    <row r="381" spans="1:9" ht="14.1" customHeight="1">
      <c r="A381" s="590">
        <v>16</v>
      </c>
      <c r="B381" s="590">
        <v>5</v>
      </c>
      <c r="C381" s="591">
        <v>2000</v>
      </c>
      <c r="D381" s="350"/>
      <c r="E381" s="350" t="s">
        <v>994</v>
      </c>
      <c r="F381" s="349"/>
      <c r="G381" s="532">
        <v>1080</v>
      </c>
      <c r="H381" s="355"/>
      <c r="I381" s="577"/>
    </row>
    <row r="382" spans="1:9" ht="14.1" customHeight="1">
      <c r="A382" s="354"/>
      <c r="B382" s="349"/>
      <c r="C382" s="349"/>
      <c r="D382" s="349"/>
      <c r="E382" s="349"/>
      <c r="F382" s="349"/>
      <c r="G382" s="349"/>
      <c r="H382" s="355"/>
      <c r="I382" s="577"/>
    </row>
    <row r="383" spans="1:9" ht="14.1" customHeight="1">
      <c r="A383" s="354" t="s">
        <v>989</v>
      </c>
      <c r="B383" s="349"/>
      <c r="C383" s="349"/>
      <c r="D383" s="349"/>
      <c r="E383" s="349"/>
      <c r="F383" s="349"/>
      <c r="G383" s="349"/>
      <c r="H383" s="355"/>
      <c r="I383" s="577"/>
    </row>
    <row r="384" spans="1:9" ht="14.1" customHeight="1">
      <c r="A384" s="590">
        <v>31</v>
      </c>
      <c r="B384" s="590">
        <v>12</v>
      </c>
      <c r="C384" s="591">
        <v>2001</v>
      </c>
      <c r="D384" s="350"/>
      <c r="E384" s="350"/>
      <c r="F384" s="349"/>
      <c r="G384" s="349"/>
      <c r="H384" s="355"/>
      <c r="I384" s="577"/>
    </row>
    <row r="385" spans="1:9" ht="14.1" customHeight="1">
      <c r="A385" s="354"/>
      <c r="B385" s="349"/>
      <c r="C385" s="349"/>
      <c r="D385" s="349"/>
      <c r="E385" s="349"/>
      <c r="F385" s="349"/>
      <c r="G385" s="349"/>
      <c r="H385" s="355"/>
      <c r="I385" s="577"/>
    </row>
    <row r="386" spans="1:9" ht="14.1" customHeight="1">
      <c r="A386" s="354" t="s">
        <v>987</v>
      </c>
      <c r="B386" s="349"/>
      <c r="C386" s="349"/>
      <c r="D386" s="349"/>
      <c r="E386" s="349"/>
      <c r="F386" s="349"/>
      <c r="G386" s="349"/>
      <c r="H386" s="355"/>
      <c r="I386" s="577"/>
    </row>
    <row r="387" spans="1:9" ht="14.1" customHeight="1">
      <c r="A387" s="354"/>
      <c r="B387" s="588">
        <v>622</v>
      </c>
      <c r="C387" s="589" t="s">
        <v>372</v>
      </c>
      <c r="D387" s="578"/>
      <c r="E387" s="578"/>
      <c r="F387" s="578"/>
      <c r="G387" s="578">
        <f>G381</f>
        <v>1080</v>
      </c>
      <c r="H387" s="355"/>
      <c r="I387" s="577"/>
    </row>
    <row r="388" spans="1:9" ht="14.1" customHeight="1">
      <c r="A388" s="356"/>
      <c r="B388" s="357"/>
      <c r="C388" s="584">
        <v>477</v>
      </c>
      <c r="D388" s="585" t="s">
        <v>886</v>
      </c>
      <c r="E388" s="581"/>
      <c r="F388" s="581"/>
      <c r="G388" s="581"/>
      <c r="H388" s="582">
        <f>G387</f>
        <v>1080</v>
      </c>
      <c r="I388" s="577"/>
    </row>
    <row r="389" spans="1:9" ht="14.1" customHeight="1">
      <c r="A389" s="349"/>
      <c r="B389" s="349"/>
      <c r="C389" s="349"/>
      <c r="D389" s="349"/>
      <c r="E389" s="349"/>
      <c r="F389" s="349"/>
      <c r="G389" s="349"/>
      <c r="H389" s="349"/>
      <c r="I389" s="577"/>
    </row>
    <row r="390" spans="1:9" ht="14.1" customHeight="1">
      <c r="A390" s="1262" t="s">
        <v>995</v>
      </c>
      <c r="B390" s="1263"/>
      <c r="C390" s="1263"/>
      <c r="D390" s="352"/>
      <c r="E390" s="352"/>
      <c r="F390" s="352"/>
      <c r="G390" s="352"/>
      <c r="H390" s="353"/>
      <c r="I390" s="577"/>
    </row>
    <row r="391" spans="1:9" ht="14.1" customHeight="1">
      <c r="A391" s="354" t="s">
        <v>996</v>
      </c>
      <c r="B391" s="349"/>
      <c r="C391" s="349"/>
      <c r="D391" s="349"/>
      <c r="E391" s="349"/>
      <c r="F391" s="349"/>
      <c r="G391" s="349"/>
      <c r="H391" s="355"/>
      <c r="I391" s="577"/>
    </row>
    <row r="392" spans="1:9" ht="14.1" customHeight="1">
      <c r="A392" s="590">
        <v>12</v>
      </c>
      <c r="B392" s="590">
        <v>10</v>
      </c>
      <c r="C392" s="591">
        <v>2013</v>
      </c>
      <c r="D392" s="350"/>
      <c r="E392" s="350" t="s">
        <v>26</v>
      </c>
      <c r="F392" s="349"/>
      <c r="G392" s="532">
        <v>4500</v>
      </c>
      <c r="H392" s="355"/>
      <c r="I392" s="577"/>
    </row>
    <row r="393" spans="1:9" ht="14.1" customHeight="1">
      <c r="A393" s="354"/>
      <c r="B393" s="349"/>
      <c r="C393" s="349"/>
      <c r="D393" s="349"/>
      <c r="E393" s="349"/>
      <c r="F393" s="349"/>
      <c r="G393" s="349"/>
      <c r="H393" s="355"/>
      <c r="I393" s="577"/>
    </row>
    <row r="394" spans="1:9" ht="14.1" customHeight="1">
      <c r="A394" s="354" t="s">
        <v>984</v>
      </c>
      <c r="B394" s="349"/>
      <c r="C394" s="349"/>
      <c r="D394" s="349"/>
      <c r="E394" s="349"/>
      <c r="F394" s="349"/>
      <c r="G394" s="349"/>
      <c r="H394" s="355"/>
      <c r="I394" s="577"/>
    </row>
    <row r="395" spans="1:9" ht="14.1" customHeight="1">
      <c r="A395" s="590">
        <v>31</v>
      </c>
      <c r="B395" s="590">
        <v>12</v>
      </c>
      <c r="C395" s="591">
        <v>2013</v>
      </c>
      <c r="D395" s="350"/>
      <c r="E395" s="350"/>
      <c r="F395" s="349"/>
      <c r="G395" s="349"/>
      <c r="H395" s="355"/>
      <c r="I395" s="577"/>
    </row>
    <row r="396" spans="1:9" ht="14.1" customHeight="1">
      <c r="A396" s="354"/>
      <c r="B396" s="349"/>
      <c r="C396" s="349"/>
      <c r="D396" s="349"/>
      <c r="E396" s="349"/>
      <c r="F396" s="349"/>
      <c r="G396" s="349"/>
      <c r="H396" s="355"/>
      <c r="I396" s="577"/>
    </row>
    <row r="397" spans="1:9" ht="14.1" customHeight="1">
      <c r="A397" s="354" t="s">
        <v>985</v>
      </c>
      <c r="B397" s="349"/>
      <c r="C397" s="349"/>
      <c r="D397" s="349"/>
      <c r="E397" s="349"/>
      <c r="F397" s="349"/>
      <c r="G397" s="349"/>
      <c r="H397" s="355"/>
      <c r="I397" s="577"/>
    </row>
    <row r="398" spans="1:9" ht="14.1" customHeight="1">
      <c r="A398" s="354"/>
      <c r="B398" s="574">
        <v>771</v>
      </c>
      <c r="C398" s="575" t="s">
        <v>1002</v>
      </c>
      <c r="D398" s="349"/>
      <c r="E398" s="349"/>
      <c r="F398" s="349"/>
      <c r="G398" s="349">
        <f>G392</f>
        <v>4500</v>
      </c>
      <c r="H398" s="355"/>
      <c r="I398" s="577"/>
    </row>
    <row r="399" spans="1:9" ht="14.1" customHeight="1">
      <c r="A399" s="356"/>
      <c r="B399" s="357"/>
      <c r="C399" s="584">
        <v>477</v>
      </c>
      <c r="D399" s="585" t="s">
        <v>886</v>
      </c>
      <c r="E399" s="357"/>
      <c r="F399" s="357"/>
      <c r="G399" s="357"/>
      <c r="H399" s="358">
        <f>G398</f>
        <v>4500</v>
      </c>
      <c r="I399" s="577"/>
    </row>
    <row r="400" spans="1:9" ht="14.1" customHeight="1">
      <c r="A400" s="349"/>
      <c r="B400" s="349"/>
      <c r="C400" s="349"/>
      <c r="D400" s="349"/>
      <c r="E400" s="349"/>
      <c r="F400" s="349"/>
      <c r="G400" s="349"/>
      <c r="H400" s="349"/>
      <c r="I400" s="577"/>
    </row>
    <row r="401" spans="1:9" ht="14.1" customHeight="1">
      <c r="A401" s="1262" t="s">
        <v>1018</v>
      </c>
      <c r="B401" s="1263"/>
      <c r="C401" s="1263"/>
      <c r="D401" s="352"/>
      <c r="E401" s="352"/>
      <c r="F401" s="352"/>
      <c r="G401" s="352"/>
      <c r="H401" s="353"/>
      <c r="I401" s="577"/>
    </row>
    <row r="402" spans="1:9" ht="14.1" customHeight="1">
      <c r="A402" s="354" t="s">
        <v>1017</v>
      </c>
      <c r="B402" s="349"/>
      <c r="C402" s="349"/>
      <c r="D402" s="349"/>
      <c r="E402" s="349"/>
      <c r="F402" s="349"/>
      <c r="G402" s="349"/>
      <c r="H402" s="355"/>
      <c r="I402" s="577"/>
    </row>
    <row r="403" spans="1:9" ht="14.1" customHeight="1">
      <c r="A403" s="590">
        <v>16</v>
      </c>
      <c r="B403" s="590">
        <v>6</v>
      </c>
      <c r="C403" s="591">
        <v>2002</v>
      </c>
      <c r="D403" s="350"/>
      <c r="E403" s="350" t="s">
        <v>26</v>
      </c>
      <c r="F403" s="349"/>
      <c r="G403" s="532">
        <v>5000</v>
      </c>
      <c r="H403" s="355"/>
      <c r="I403" s="577"/>
    </row>
    <row r="404" spans="1:9" ht="14.1" customHeight="1">
      <c r="A404" s="354"/>
      <c r="B404" s="349"/>
      <c r="C404" s="349"/>
      <c r="D404" s="349" t="s">
        <v>31</v>
      </c>
      <c r="E404" s="349"/>
      <c r="F404" s="349"/>
      <c r="G404" s="351"/>
      <c r="H404" s="355"/>
      <c r="I404" s="577"/>
    </row>
    <row r="405" spans="1:9" ht="14.1" customHeight="1">
      <c r="A405" s="354" t="s">
        <v>984</v>
      </c>
      <c r="B405" s="349"/>
      <c r="C405" s="349"/>
      <c r="D405" s="349"/>
      <c r="E405" s="349"/>
      <c r="F405" s="349"/>
      <c r="G405" s="349"/>
      <c r="H405" s="355"/>
      <c r="I405" s="577"/>
    </row>
    <row r="406" spans="1:9" ht="14.1" customHeight="1">
      <c r="A406" s="590">
        <v>31</v>
      </c>
      <c r="B406" s="590">
        <v>12</v>
      </c>
      <c r="C406" s="591">
        <v>2001</v>
      </c>
      <c r="D406" s="350"/>
      <c r="E406" s="350"/>
      <c r="F406" s="349"/>
      <c r="G406" s="349"/>
      <c r="H406" s="355"/>
      <c r="I406" s="577"/>
    </row>
    <row r="407" spans="1:9" ht="14.1" customHeight="1">
      <c r="A407" s="354"/>
      <c r="B407" s="349"/>
      <c r="C407" s="349"/>
      <c r="D407" s="349"/>
      <c r="E407" s="349"/>
      <c r="F407" s="349"/>
      <c r="G407" s="349"/>
      <c r="H407" s="355"/>
      <c r="I407" s="577"/>
    </row>
    <row r="408" spans="1:9" ht="14.1" customHeight="1">
      <c r="A408" s="354" t="s">
        <v>985</v>
      </c>
      <c r="B408" s="349"/>
      <c r="C408" s="349"/>
      <c r="D408" s="349"/>
      <c r="E408" s="349"/>
      <c r="F408" s="349"/>
      <c r="G408" s="349"/>
      <c r="H408" s="355"/>
      <c r="I408" s="577"/>
    </row>
    <row r="409" spans="1:9" ht="14.1" customHeight="1">
      <c r="A409" s="354"/>
      <c r="B409" s="574">
        <v>830</v>
      </c>
      <c r="C409" s="575" t="s">
        <v>420</v>
      </c>
      <c r="D409" s="578"/>
      <c r="E409" s="578"/>
      <c r="F409" s="578"/>
      <c r="G409" s="578">
        <f>G403</f>
        <v>5000</v>
      </c>
      <c r="H409" s="355"/>
      <c r="I409" s="577"/>
    </row>
    <row r="410" spans="1:9" ht="14.1" customHeight="1">
      <c r="A410" s="356"/>
      <c r="B410" s="357"/>
      <c r="C410" s="584">
        <v>477</v>
      </c>
      <c r="D410" s="585" t="s">
        <v>886</v>
      </c>
      <c r="E410" s="581"/>
      <c r="F410" s="581"/>
      <c r="G410" s="581"/>
      <c r="H410" s="582">
        <f>G409</f>
        <v>5000</v>
      </c>
      <c r="I410" s="577"/>
    </row>
    <row r="411" spans="1:9" ht="14.1" customHeight="1">
      <c r="A411" s="549"/>
      <c r="B411" s="549"/>
      <c r="C411" s="549"/>
      <c r="D411" s="549"/>
      <c r="E411" s="549"/>
      <c r="F411" s="549"/>
      <c r="G411" s="549"/>
      <c r="H411" s="549"/>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sheetPr codeName="Feuil20"/>
  <dimension ref="A1:AMJ118"/>
  <sheetViews>
    <sheetView workbookViewId="0">
      <selection activeCell="E4" sqref="E4"/>
    </sheetView>
  </sheetViews>
  <sheetFormatPr baseColWidth="10" defaultRowHeight="14.1" customHeight="1"/>
  <cols>
    <col min="1" max="1" width="10.28515625" style="704" customWidth="1"/>
    <col min="2" max="2" width="32.42578125" style="704" customWidth="1"/>
    <col min="3" max="3" width="27.85546875" style="704" customWidth="1"/>
    <col min="4" max="1024" width="12.28515625" style="704" customWidth="1"/>
    <col min="1025" max="16384" width="11.42578125" style="767"/>
  </cols>
  <sheetData>
    <row r="1" spans="1:8" ht="12.75" customHeight="1">
      <c r="A1" s="1161" t="s">
        <v>632</v>
      </c>
      <c r="B1" s="1161"/>
    </row>
    <row r="3" spans="1:8" ht="14.1" customHeight="1">
      <c r="A3" s="1264" t="s">
        <v>243</v>
      </c>
      <c r="B3" s="1265"/>
      <c r="C3" s="705"/>
      <c r="D3" s="705"/>
      <c r="E3" s="705"/>
      <c r="F3" s="705"/>
      <c r="G3" s="705"/>
      <c r="H3" s="706"/>
    </row>
    <row r="4" spans="1:8" ht="14.1" customHeight="1">
      <c r="A4" s="707">
        <v>520</v>
      </c>
      <c r="B4" s="566" t="s">
        <v>170</v>
      </c>
      <c r="C4" s="708"/>
      <c r="D4" s="708"/>
      <c r="E4" s="708"/>
      <c r="F4" s="708"/>
      <c r="G4" s="708">
        <v>14000</v>
      </c>
      <c r="H4" s="709"/>
    </row>
    <row r="5" spans="1:8" ht="14.1" customHeight="1">
      <c r="A5" s="710"/>
      <c r="B5" s="711">
        <v>162</v>
      </c>
      <c r="C5" s="712" t="s">
        <v>275</v>
      </c>
      <c r="D5" s="708"/>
      <c r="E5" s="708"/>
      <c r="F5" s="708"/>
      <c r="G5" s="708"/>
      <c r="H5" s="713">
        <f>G4</f>
        <v>14000</v>
      </c>
    </row>
    <row r="6" spans="1:8" ht="14.1" customHeight="1">
      <c r="A6" s="556" t="s">
        <v>1111</v>
      </c>
      <c r="B6" s="714"/>
      <c r="C6" s="715"/>
      <c r="D6" s="558"/>
      <c r="E6" s="558"/>
      <c r="F6" s="558"/>
      <c r="G6" s="558"/>
      <c r="H6" s="559"/>
    </row>
    <row r="7" spans="1:8" ht="14.1" customHeight="1">
      <c r="A7" s="556">
        <f>A4</f>
        <v>520</v>
      </c>
      <c r="B7" s="558" t="str">
        <f>B4</f>
        <v>Banques cpte en monnaie nationale</v>
      </c>
      <c r="C7" s="716"/>
      <c r="D7" s="558">
        <f>B5</f>
        <v>162</v>
      </c>
      <c r="E7" s="558" t="str">
        <f>C5</f>
        <v>Emprunt auprès des établissement de crédit</v>
      </c>
      <c r="F7" s="558"/>
      <c r="G7" s="558"/>
      <c r="H7" s="559">
        <f>G4</f>
        <v>14000</v>
      </c>
    </row>
    <row r="8" spans="1:8" ht="14.1" customHeight="1">
      <c r="A8" s="710"/>
      <c r="B8" s="708"/>
      <c r="C8" s="708"/>
      <c r="D8" s="708"/>
      <c r="E8" s="708"/>
      <c r="F8" s="708"/>
      <c r="G8" s="708"/>
      <c r="H8" s="709"/>
    </row>
    <row r="9" spans="1:8" ht="14.1" customHeight="1">
      <c r="A9" s="710"/>
      <c r="B9" s="708"/>
      <c r="C9" s="708"/>
      <c r="D9" s="708"/>
      <c r="E9" s="708"/>
      <c r="F9" s="708"/>
      <c r="G9" s="708"/>
      <c r="H9" s="709"/>
    </row>
    <row r="10" spans="1:8" ht="14.1" customHeight="1">
      <c r="A10" s="1266" t="s">
        <v>244</v>
      </c>
      <c r="B10" s="1267"/>
      <c r="C10" s="1267"/>
      <c r="D10" s="708"/>
      <c r="E10" s="708"/>
      <c r="F10" s="708"/>
      <c r="G10" s="708"/>
      <c r="H10" s="709"/>
    </row>
    <row r="11" spans="1:8" ht="14.1" customHeight="1">
      <c r="A11" s="710">
        <v>162</v>
      </c>
      <c r="B11" s="708" t="s">
        <v>275</v>
      </c>
      <c r="C11" s="708"/>
      <c r="D11" s="708"/>
      <c r="E11" s="708"/>
      <c r="F11" s="708"/>
      <c r="G11" s="713">
        <v>120</v>
      </c>
      <c r="H11" s="709"/>
    </row>
    <row r="12" spans="1:8" ht="14.1" customHeight="1">
      <c r="A12" s="717">
        <v>6710</v>
      </c>
      <c r="B12" s="718" t="s">
        <v>413</v>
      </c>
      <c r="C12" s="708"/>
      <c r="D12" s="708"/>
      <c r="E12" s="708"/>
      <c r="F12" s="708"/>
      <c r="G12" s="713">
        <v>50</v>
      </c>
      <c r="H12" s="709"/>
    </row>
    <row r="13" spans="1:8" ht="14.1" customHeight="1">
      <c r="A13" s="710"/>
      <c r="B13" s="719">
        <v>520</v>
      </c>
      <c r="C13" s="719" t="s">
        <v>170</v>
      </c>
      <c r="D13" s="708"/>
      <c r="E13" s="708"/>
      <c r="F13" s="708"/>
      <c r="G13" s="708"/>
      <c r="H13" s="709">
        <f>SUM(G11:G12)</f>
        <v>170</v>
      </c>
    </row>
    <row r="14" spans="1:8" ht="14.1" customHeight="1">
      <c r="A14" s="556" t="s">
        <v>1111</v>
      </c>
      <c r="B14" s="720"/>
      <c r="C14" s="721"/>
      <c r="D14" s="716"/>
      <c r="E14" s="716"/>
      <c r="F14" s="716"/>
      <c r="G14" s="716"/>
      <c r="H14" s="722"/>
    </row>
    <row r="15" spans="1:8" ht="14.1" customHeight="1">
      <c r="A15" s="723">
        <f>A11</f>
        <v>162</v>
      </c>
      <c r="B15" s="716" t="str">
        <f>B11</f>
        <v>Emprunt auprès des établissement de crédit</v>
      </c>
      <c r="C15" s="716"/>
      <c r="D15" s="716">
        <f>B13</f>
        <v>520</v>
      </c>
      <c r="E15" s="716" t="str">
        <f>C13</f>
        <v>Banques cpte en monnaie nationale</v>
      </c>
      <c r="F15" s="716"/>
      <c r="G15" s="716"/>
      <c r="H15" s="722">
        <f>G11</f>
        <v>120</v>
      </c>
    </row>
    <row r="16" spans="1:8" ht="14.1" customHeight="1">
      <c r="A16" s="724">
        <f>A12</f>
        <v>6710</v>
      </c>
      <c r="B16" s="725" t="str">
        <f>B12</f>
        <v>Intérêts des emprunts</v>
      </c>
      <c r="C16" s="726"/>
      <c r="D16" s="725">
        <f>D15</f>
        <v>520</v>
      </c>
      <c r="E16" s="725" t="str">
        <f>E15</f>
        <v>Banques cpte en monnaie nationale</v>
      </c>
      <c r="F16" s="726"/>
      <c r="G16" s="726"/>
      <c r="H16" s="727">
        <f>G12</f>
        <v>50</v>
      </c>
    </row>
    <row r="17" spans="1:8" ht="14.1" customHeight="1">
      <c r="A17" s="728"/>
      <c r="B17" s="728"/>
      <c r="C17" s="728"/>
      <c r="D17" s="728"/>
      <c r="E17" s="728"/>
      <c r="F17" s="728"/>
      <c r="G17" s="728"/>
      <c r="H17" s="728"/>
    </row>
    <row r="18" spans="1:8" ht="14.1" customHeight="1">
      <c r="A18" s="728"/>
      <c r="B18" s="728"/>
      <c r="C18" s="728"/>
      <c r="D18" s="728"/>
      <c r="E18" s="728"/>
      <c r="F18" s="728"/>
      <c r="G18" s="728"/>
      <c r="H18" s="728"/>
    </row>
    <row r="19" spans="1:8" ht="14.1" customHeight="1">
      <c r="A19" s="1264" t="s">
        <v>633</v>
      </c>
      <c r="B19" s="1268"/>
      <c r="C19" s="1268"/>
      <c r="D19" s="729"/>
      <c r="E19" s="705"/>
      <c r="F19" s="705"/>
      <c r="G19" s="729"/>
      <c r="H19" s="730"/>
    </row>
    <row r="20" spans="1:8" ht="14.1" customHeight="1">
      <c r="A20" s="717">
        <v>6970</v>
      </c>
      <c r="B20" s="718" t="s">
        <v>419</v>
      </c>
      <c r="C20" s="718"/>
      <c r="D20" s="731"/>
      <c r="E20" s="708"/>
      <c r="F20" s="708"/>
      <c r="G20" s="732">
        <v>10000000</v>
      </c>
      <c r="H20" s="733"/>
    </row>
    <row r="21" spans="1:8" ht="14.1" customHeight="1">
      <c r="A21" s="734"/>
      <c r="B21" s="711">
        <v>1971</v>
      </c>
      <c r="C21" s="712" t="s">
        <v>272</v>
      </c>
      <c r="D21" s="731"/>
      <c r="E21" s="708"/>
      <c r="F21" s="708"/>
      <c r="G21" s="731"/>
      <c r="H21" s="733">
        <f>G20</f>
        <v>10000000</v>
      </c>
    </row>
    <row r="22" spans="1:8" ht="14.1" customHeight="1">
      <c r="A22" s="556" t="s">
        <v>1111</v>
      </c>
      <c r="B22" s="714"/>
      <c r="C22" s="715"/>
      <c r="D22" s="558"/>
      <c r="E22" s="558"/>
      <c r="F22" s="558"/>
      <c r="G22" s="558"/>
      <c r="H22" s="559"/>
    </row>
    <row r="23" spans="1:8" ht="14.1" customHeight="1">
      <c r="A23" s="556">
        <f>A20</f>
        <v>6970</v>
      </c>
      <c r="B23" s="558" t="str">
        <f>B20</f>
        <v>Dotat. aux provis. Financières</v>
      </c>
      <c r="C23" s="716"/>
      <c r="D23" s="558">
        <f>B21</f>
        <v>1971</v>
      </c>
      <c r="E23" s="558" t="str">
        <f>C21</f>
        <v>Provisions pour grosses réparations</v>
      </c>
      <c r="F23" s="558"/>
      <c r="G23" s="558"/>
      <c r="H23" s="559">
        <f>G20</f>
        <v>10000000</v>
      </c>
    </row>
    <row r="24" spans="1:8" ht="14.1" customHeight="1">
      <c r="A24" s="734"/>
      <c r="B24" s="731"/>
      <c r="C24" s="731"/>
      <c r="D24" s="731"/>
      <c r="E24" s="708"/>
      <c r="F24" s="708"/>
      <c r="G24" s="731"/>
      <c r="H24" s="733"/>
    </row>
    <row r="25" spans="1:8" ht="14.1" customHeight="1">
      <c r="A25" s="1266" t="s">
        <v>634</v>
      </c>
      <c r="B25" s="1269"/>
      <c r="C25" s="731"/>
      <c r="D25" s="731"/>
      <c r="E25" s="708"/>
      <c r="F25" s="708"/>
      <c r="G25" s="731"/>
      <c r="H25" s="733"/>
    </row>
    <row r="26" spans="1:8" ht="14.1" customHeight="1">
      <c r="A26" s="735">
        <v>6243</v>
      </c>
      <c r="B26" s="712" t="s">
        <v>377</v>
      </c>
      <c r="C26" s="731"/>
      <c r="D26" s="731"/>
      <c r="E26" s="708"/>
      <c r="F26" s="708"/>
      <c r="G26" s="732">
        <v>4000000</v>
      </c>
      <c r="H26" s="733"/>
    </row>
    <row r="27" spans="1:8" ht="14.1" customHeight="1">
      <c r="A27" s="736">
        <v>44521</v>
      </c>
      <c r="B27" s="712" t="s">
        <v>488</v>
      </c>
      <c r="C27" s="731"/>
      <c r="D27" s="731"/>
      <c r="E27" s="708"/>
      <c r="F27" s="708"/>
      <c r="G27" s="732">
        <v>250000</v>
      </c>
      <c r="H27" s="733"/>
    </row>
    <row r="28" spans="1:8" ht="14.1" customHeight="1">
      <c r="A28" s="734"/>
      <c r="B28" s="711">
        <v>4011</v>
      </c>
      <c r="C28" s="712" t="s">
        <v>276</v>
      </c>
      <c r="D28" s="731"/>
      <c r="E28" s="708"/>
      <c r="F28" s="708"/>
      <c r="G28" s="731"/>
      <c r="H28" s="733">
        <f>SUM(G26:G27)</f>
        <v>4250000</v>
      </c>
    </row>
    <row r="29" spans="1:8" ht="14.1" customHeight="1">
      <c r="A29" s="556" t="s">
        <v>1111</v>
      </c>
      <c r="B29" s="714"/>
      <c r="C29" s="715"/>
      <c r="D29" s="558"/>
      <c r="E29" s="558"/>
      <c r="F29" s="558"/>
      <c r="G29" s="558"/>
      <c r="H29" s="559"/>
    </row>
    <row r="30" spans="1:8" ht="14.1" customHeight="1">
      <c r="A30" s="556">
        <f>A27</f>
        <v>44521</v>
      </c>
      <c r="B30" s="558" t="str">
        <f>B27</f>
        <v>T.V.A. récupérable sur achats</v>
      </c>
      <c r="C30" s="716"/>
      <c r="D30" s="558">
        <f>B28</f>
        <v>4011</v>
      </c>
      <c r="E30" s="558" t="str">
        <f>C28</f>
        <v>Fournisseurs</v>
      </c>
      <c r="F30" s="558"/>
      <c r="G30" s="558"/>
      <c r="H30" s="559">
        <f>H28</f>
        <v>4250000</v>
      </c>
    </row>
    <row r="31" spans="1:8" ht="14.1" customHeight="1">
      <c r="A31" s="734"/>
      <c r="B31" s="711"/>
      <c r="C31" s="712"/>
      <c r="D31" s="731"/>
      <c r="E31" s="708"/>
      <c r="F31" s="708"/>
      <c r="G31" s="731"/>
      <c r="H31" s="733"/>
    </row>
    <row r="32" spans="1:8" ht="14.1" customHeight="1">
      <c r="A32" s="734"/>
      <c r="B32" s="711"/>
      <c r="C32" s="712"/>
      <c r="D32" s="731"/>
      <c r="E32" s="708"/>
      <c r="F32" s="708"/>
      <c r="G32" s="731"/>
      <c r="H32" s="733"/>
    </row>
    <row r="33" spans="1:8" ht="14.1" customHeight="1">
      <c r="A33" s="1266" t="s">
        <v>635</v>
      </c>
      <c r="B33" s="1269"/>
      <c r="C33" s="712"/>
      <c r="D33" s="731"/>
      <c r="E33" s="708"/>
      <c r="F33" s="708"/>
      <c r="G33" s="731"/>
      <c r="H33" s="733"/>
    </row>
    <row r="34" spans="1:8" ht="14.1" customHeight="1">
      <c r="A34" s="710">
        <v>4011</v>
      </c>
      <c r="B34" s="737" t="s">
        <v>494</v>
      </c>
      <c r="C34" s="712"/>
      <c r="D34" s="731"/>
      <c r="E34" s="708"/>
      <c r="F34" s="708"/>
      <c r="G34" s="731">
        <f>H28</f>
        <v>4250000</v>
      </c>
      <c r="H34" s="733"/>
    </row>
    <row r="35" spans="1:8" ht="14.1" customHeight="1">
      <c r="A35" s="710"/>
      <c r="B35" s="731">
        <v>520</v>
      </c>
      <c r="C35" s="712" t="s">
        <v>636</v>
      </c>
      <c r="D35" s="731"/>
      <c r="E35" s="708"/>
      <c r="F35" s="708"/>
      <c r="G35" s="731"/>
      <c r="H35" s="733">
        <f>G34</f>
        <v>4250000</v>
      </c>
    </row>
    <row r="36" spans="1:8" ht="14.1" customHeight="1">
      <c r="A36" s="556" t="s">
        <v>1111</v>
      </c>
      <c r="B36" s="714"/>
      <c r="C36" s="715"/>
      <c r="D36" s="558"/>
      <c r="E36" s="558"/>
      <c r="F36" s="558"/>
      <c r="G36" s="558"/>
      <c r="H36" s="559"/>
    </row>
    <row r="37" spans="1:8" ht="14.1" customHeight="1">
      <c r="A37" s="556">
        <f>A34</f>
        <v>4011</v>
      </c>
      <c r="B37" s="558" t="str">
        <f>B34</f>
        <v xml:space="preserve">Fournisseurs </v>
      </c>
      <c r="C37" s="716"/>
      <c r="D37" s="558">
        <f>B35</f>
        <v>520</v>
      </c>
      <c r="E37" s="558" t="str">
        <f>C35</f>
        <v>banques cpte en monnaie nationale</v>
      </c>
      <c r="F37" s="558"/>
      <c r="G37" s="558"/>
      <c r="H37" s="559">
        <f>G34</f>
        <v>4250000</v>
      </c>
    </row>
    <row r="38" spans="1:8" ht="14.1" customHeight="1">
      <c r="A38" s="710"/>
      <c r="B38" s="731"/>
      <c r="C38" s="712"/>
      <c r="D38" s="731"/>
      <c r="E38" s="708"/>
      <c r="F38" s="708"/>
      <c r="G38" s="731"/>
      <c r="H38" s="733"/>
    </row>
    <row r="39" spans="1:8" ht="14.1" customHeight="1">
      <c r="A39" s="710"/>
      <c r="B39" s="731"/>
      <c r="C39" s="712"/>
      <c r="D39" s="731"/>
      <c r="E39" s="708"/>
      <c r="F39" s="708"/>
      <c r="G39" s="731"/>
      <c r="H39" s="733"/>
    </row>
    <row r="40" spans="1:8" ht="14.1" customHeight="1">
      <c r="A40" s="1266" t="s">
        <v>637</v>
      </c>
      <c r="B40" s="1269"/>
      <c r="C40" s="731"/>
      <c r="D40" s="731"/>
      <c r="E40" s="708"/>
      <c r="F40" s="708"/>
      <c r="G40" s="731"/>
      <c r="H40" s="733"/>
    </row>
    <row r="41" spans="1:8" ht="14.1" customHeight="1">
      <c r="A41" s="734">
        <v>1971</v>
      </c>
      <c r="B41" s="731" t="s">
        <v>493</v>
      </c>
      <c r="C41" s="738"/>
      <c r="D41" s="731"/>
      <c r="E41" s="708"/>
      <c r="F41" s="708"/>
      <c r="G41" s="731">
        <f>H21</f>
        <v>10000000</v>
      </c>
      <c r="H41" s="733"/>
    </row>
    <row r="42" spans="1:8" ht="14.1" customHeight="1">
      <c r="A42" s="739"/>
      <c r="B42" s="740">
        <v>7791</v>
      </c>
      <c r="C42" s="741" t="s">
        <v>467</v>
      </c>
      <c r="D42" s="742"/>
      <c r="E42" s="743"/>
      <c r="F42" s="743"/>
      <c r="G42" s="742"/>
      <c r="H42" s="744">
        <f>G41</f>
        <v>10000000</v>
      </c>
    </row>
    <row r="43" spans="1:8" ht="14.1" customHeight="1">
      <c r="A43" s="556" t="s">
        <v>1111</v>
      </c>
      <c r="B43" s="714"/>
      <c r="C43" s="715"/>
      <c r="D43" s="558"/>
      <c r="E43" s="558"/>
      <c r="F43" s="558"/>
      <c r="G43" s="558"/>
      <c r="H43" s="559"/>
    </row>
    <row r="44" spans="1:8" ht="14.1" customHeight="1">
      <c r="A44" s="561">
        <f>A41</f>
        <v>1971</v>
      </c>
      <c r="B44" s="562" t="str">
        <f>B41</f>
        <v xml:space="preserve">Provisions pour grosses réparations </v>
      </c>
      <c r="C44" s="725"/>
      <c r="D44" s="562">
        <f>B42</f>
        <v>7791</v>
      </c>
      <c r="E44" s="562" t="str">
        <f>C42</f>
        <v>Reprise Sur risques financiers</v>
      </c>
      <c r="F44" s="562"/>
      <c r="G44" s="562"/>
      <c r="H44" s="563">
        <f>H42</f>
        <v>10000000</v>
      </c>
    </row>
    <row r="45" spans="1:8" ht="14.1" customHeight="1">
      <c r="A45" s="731"/>
      <c r="B45" s="745"/>
      <c r="C45" s="718"/>
      <c r="D45" s="731"/>
      <c r="E45" s="708"/>
      <c r="F45" s="708"/>
      <c r="G45" s="731"/>
      <c r="H45" s="731"/>
    </row>
    <row r="46" spans="1:8" ht="14.1" customHeight="1">
      <c r="A46" s="728"/>
      <c r="B46" s="728"/>
      <c r="C46" s="728"/>
      <c r="D46" s="728"/>
      <c r="E46" s="728"/>
      <c r="F46" s="728"/>
      <c r="G46" s="728"/>
      <c r="H46" s="728"/>
    </row>
    <row r="47" spans="1:8" ht="14.1" customHeight="1">
      <c r="A47" s="1270" t="s">
        <v>245</v>
      </c>
      <c r="B47" s="1271"/>
      <c r="C47" s="746"/>
      <c r="D47" s="746"/>
      <c r="E47" s="746"/>
      <c r="F47" s="746"/>
      <c r="G47" s="746"/>
      <c r="H47" s="747"/>
    </row>
    <row r="48" spans="1:8" ht="14.1" customHeight="1">
      <c r="A48" s="748">
        <v>6970</v>
      </c>
      <c r="B48" s="718" t="s">
        <v>419</v>
      </c>
      <c r="C48" s="708"/>
      <c r="D48" s="708"/>
      <c r="E48" s="708"/>
      <c r="F48" s="708"/>
      <c r="G48" s="713">
        <v>50000</v>
      </c>
      <c r="H48" s="749"/>
    </row>
    <row r="49" spans="1:8" ht="14.1" customHeight="1">
      <c r="A49" s="737"/>
      <c r="B49" s="711">
        <v>191</v>
      </c>
      <c r="C49" s="712" t="s">
        <v>267</v>
      </c>
      <c r="D49" s="708"/>
      <c r="E49" s="708"/>
      <c r="F49" s="708"/>
      <c r="G49" s="708"/>
      <c r="H49" s="749">
        <f>G48</f>
        <v>50000</v>
      </c>
    </row>
    <row r="50" spans="1:8" ht="14.1" customHeight="1">
      <c r="A50" s="556" t="s">
        <v>1111</v>
      </c>
      <c r="B50" s="714"/>
      <c r="C50" s="715"/>
      <c r="D50" s="558"/>
      <c r="E50" s="558"/>
      <c r="F50" s="558"/>
      <c r="G50" s="558"/>
      <c r="H50" s="559"/>
    </row>
    <row r="51" spans="1:8" ht="14.1" customHeight="1">
      <c r="A51" s="556">
        <f>A48</f>
        <v>6970</v>
      </c>
      <c r="B51" s="558" t="str">
        <f>B48</f>
        <v>Dotat. aux provis. Financières</v>
      </c>
      <c r="C51" s="716"/>
      <c r="D51" s="558">
        <f>B49</f>
        <v>191</v>
      </c>
      <c r="E51" s="558" t="str">
        <f>C49</f>
        <v>Provision pour litiges</v>
      </c>
      <c r="F51" s="558"/>
      <c r="G51" s="558"/>
      <c r="H51" s="559">
        <f>H49</f>
        <v>50000</v>
      </c>
    </row>
    <row r="52" spans="1:8" ht="14.1" customHeight="1">
      <c r="A52" s="737"/>
      <c r="B52" s="708"/>
      <c r="C52" s="708"/>
      <c r="D52" s="708"/>
      <c r="E52" s="708"/>
      <c r="F52" s="708"/>
      <c r="G52" s="708"/>
      <c r="H52" s="749"/>
    </row>
    <row r="53" spans="1:8" ht="14.1" customHeight="1">
      <c r="A53" s="737"/>
      <c r="B53" s="708"/>
      <c r="C53" s="708"/>
      <c r="D53" s="708"/>
      <c r="E53" s="708"/>
      <c r="F53" s="708"/>
      <c r="G53" s="708"/>
      <c r="H53" s="749"/>
    </row>
    <row r="54" spans="1:8" ht="14.1" customHeight="1">
      <c r="A54" s="1272" t="s">
        <v>638</v>
      </c>
      <c r="B54" s="1267"/>
      <c r="C54" s="708"/>
      <c r="D54" s="708"/>
      <c r="E54" s="708"/>
      <c r="F54" s="708"/>
      <c r="G54" s="708"/>
      <c r="H54" s="749"/>
    </row>
    <row r="55" spans="1:8" ht="14.1" customHeight="1">
      <c r="A55" s="748">
        <v>6970</v>
      </c>
      <c r="B55" s="718" t="s">
        <v>419</v>
      </c>
      <c r="C55" s="731"/>
      <c r="D55" s="708"/>
      <c r="E55" s="708"/>
      <c r="F55" s="708"/>
      <c r="G55" s="732">
        <v>40000</v>
      </c>
      <c r="H55" s="750"/>
    </row>
    <row r="56" spans="1:8" ht="14.1" customHeight="1">
      <c r="A56" s="737"/>
      <c r="B56" s="719">
        <v>520</v>
      </c>
      <c r="C56" s="566" t="s">
        <v>170</v>
      </c>
      <c r="D56" s="708"/>
      <c r="E56" s="708"/>
      <c r="F56" s="708"/>
      <c r="G56" s="731"/>
      <c r="H56" s="750">
        <f>G55</f>
        <v>40000</v>
      </c>
    </row>
    <row r="57" spans="1:8" ht="14.1" customHeight="1">
      <c r="A57" s="556" t="s">
        <v>1111</v>
      </c>
      <c r="B57" s="714"/>
      <c r="C57" s="715"/>
      <c r="D57" s="558"/>
      <c r="E57" s="558"/>
      <c r="F57" s="558"/>
      <c r="G57" s="558"/>
      <c r="H57" s="559"/>
    </row>
    <row r="58" spans="1:8" ht="14.1" customHeight="1">
      <c r="A58" s="556">
        <f>A55</f>
        <v>6970</v>
      </c>
      <c r="B58" s="558" t="str">
        <f>B55</f>
        <v>Dotat. aux provis. Financières</v>
      </c>
      <c r="C58" s="716"/>
      <c r="D58" s="558">
        <f>B56</f>
        <v>520</v>
      </c>
      <c r="E58" s="558" t="str">
        <f>C56</f>
        <v>Banques cpte en monnaie nationale</v>
      </c>
      <c r="F58" s="558"/>
      <c r="G58" s="558"/>
      <c r="H58" s="559">
        <f>H56</f>
        <v>40000</v>
      </c>
    </row>
    <row r="59" spans="1:8" ht="14.1" customHeight="1">
      <c r="A59" s="737"/>
      <c r="B59" s="719"/>
      <c r="C59" s="566"/>
      <c r="D59" s="708"/>
      <c r="E59" s="708"/>
      <c r="F59" s="708"/>
      <c r="G59" s="731"/>
      <c r="H59" s="750"/>
    </row>
    <row r="60" spans="1:8" ht="14.1" customHeight="1">
      <c r="A60" s="1272" t="s">
        <v>639</v>
      </c>
      <c r="B60" s="1269"/>
      <c r="C60" s="731"/>
      <c r="D60" s="708"/>
      <c r="E60" s="708"/>
      <c r="F60" s="708"/>
      <c r="G60" s="731"/>
      <c r="H60" s="750"/>
    </row>
    <row r="61" spans="1:8" ht="14.1" customHeight="1">
      <c r="A61" s="737">
        <v>191</v>
      </c>
      <c r="B61" s="708" t="s">
        <v>267</v>
      </c>
      <c r="C61" s="731"/>
      <c r="D61" s="708"/>
      <c r="E61" s="708"/>
      <c r="F61" s="708"/>
      <c r="G61" s="731">
        <f>H49</f>
        <v>50000</v>
      </c>
      <c r="H61" s="750"/>
    </row>
    <row r="62" spans="1:8" ht="14.1" customHeight="1">
      <c r="A62" s="737"/>
      <c r="B62" s="745">
        <v>7791</v>
      </c>
      <c r="C62" s="718" t="s">
        <v>467</v>
      </c>
      <c r="D62" s="708"/>
      <c r="E62" s="708"/>
      <c r="F62" s="708"/>
      <c r="G62" s="731"/>
      <c r="H62" s="750">
        <f>G61</f>
        <v>50000</v>
      </c>
    </row>
    <row r="63" spans="1:8" ht="14.1" customHeight="1">
      <c r="A63" s="556" t="s">
        <v>1111</v>
      </c>
      <c r="B63" s="714"/>
      <c r="C63" s="715"/>
      <c r="D63" s="558"/>
      <c r="E63" s="558"/>
      <c r="F63" s="558"/>
      <c r="G63" s="558"/>
      <c r="H63" s="559"/>
    </row>
    <row r="64" spans="1:8" ht="14.1" customHeight="1">
      <c r="A64" s="556">
        <f>A61</f>
        <v>191</v>
      </c>
      <c r="B64" s="558" t="str">
        <f>B61</f>
        <v>Provision pour litiges</v>
      </c>
      <c r="C64" s="716"/>
      <c r="D64" s="558">
        <f>B62</f>
        <v>7791</v>
      </c>
      <c r="E64" s="558" t="str">
        <f>C62</f>
        <v>Reprise Sur risques financiers</v>
      </c>
      <c r="F64" s="558"/>
      <c r="G64" s="558"/>
      <c r="H64" s="559">
        <f>H62</f>
        <v>50000</v>
      </c>
    </row>
    <row r="65" spans="1:8" ht="14.1" customHeight="1">
      <c r="A65" s="708"/>
      <c r="B65" s="708"/>
      <c r="C65" s="708"/>
      <c r="D65" s="708"/>
      <c r="E65" s="708"/>
      <c r="F65" s="708"/>
      <c r="G65" s="708"/>
      <c r="H65" s="708"/>
    </row>
    <row r="66" spans="1:8" ht="14.1" customHeight="1">
      <c r="A66" s="1275" t="s">
        <v>640</v>
      </c>
      <c r="B66" s="1276"/>
      <c r="C66" s="1276"/>
      <c r="D66" s="732">
        <v>5000000</v>
      </c>
      <c r="E66" s="751" t="s">
        <v>641</v>
      </c>
      <c r="F66" s="732">
        <v>2300000</v>
      </c>
      <c r="G66" s="751"/>
      <c r="H66" s="752"/>
    </row>
    <row r="67" spans="1:8" ht="14.1" customHeight="1">
      <c r="A67" s="707">
        <v>414</v>
      </c>
      <c r="B67" s="753" t="s">
        <v>329</v>
      </c>
      <c r="C67" s="754"/>
      <c r="D67" s="754"/>
      <c r="E67" s="754"/>
      <c r="F67" s="754"/>
      <c r="G67" s="754">
        <f>SUM(H68:H69)</f>
        <v>2725500</v>
      </c>
      <c r="H67" s="755"/>
    </row>
    <row r="68" spans="1:8" ht="14.1" customHeight="1">
      <c r="A68" s="756"/>
      <c r="B68" s="712">
        <v>8220</v>
      </c>
      <c r="C68" s="1696" t="s">
        <v>642</v>
      </c>
      <c r="D68" s="1696"/>
      <c r="E68" s="754"/>
      <c r="F68" s="754"/>
      <c r="G68" s="754"/>
      <c r="H68" s="755">
        <f>F66</f>
        <v>2300000</v>
      </c>
    </row>
    <row r="69" spans="1:8" ht="14.1" customHeight="1">
      <c r="A69" s="756"/>
      <c r="B69" s="712">
        <v>4431</v>
      </c>
      <c r="C69" s="712" t="s">
        <v>484</v>
      </c>
      <c r="D69" s="754"/>
      <c r="E69" s="754"/>
      <c r="F69" s="754"/>
      <c r="G69" s="554">
        <v>0.185</v>
      </c>
      <c r="H69" s="755">
        <f>H68*G69</f>
        <v>425500</v>
      </c>
    </row>
    <row r="70" spans="1:8" ht="14.1" customHeight="1">
      <c r="A70" s="556" t="s">
        <v>1111</v>
      </c>
      <c r="B70" s="714"/>
      <c r="C70" s="715"/>
      <c r="D70" s="558"/>
      <c r="E70" s="558"/>
      <c r="F70" s="558"/>
      <c r="G70" s="558"/>
      <c r="H70" s="559"/>
    </row>
    <row r="71" spans="1:8" ht="14.1" customHeight="1">
      <c r="A71" s="556">
        <f>A67</f>
        <v>414</v>
      </c>
      <c r="B71" s="558" t="str">
        <f>B67</f>
        <v>Créances Cessions. courantes immobilisations.</v>
      </c>
      <c r="C71" s="716"/>
      <c r="D71" s="558">
        <f>B68</f>
        <v>8220</v>
      </c>
      <c r="E71" s="558" t="str">
        <f>C68</f>
        <v>Produits de cessions Immobilisations corporelles</v>
      </c>
      <c r="F71" s="558"/>
      <c r="G71" s="558"/>
      <c r="H71" s="757">
        <f>G67</f>
        <v>2725500</v>
      </c>
    </row>
    <row r="72" spans="1:8" ht="14.1" customHeight="1">
      <c r="A72" s="756"/>
      <c r="B72" s="712"/>
      <c r="C72" s="712"/>
      <c r="D72" s="754"/>
      <c r="E72" s="754"/>
      <c r="F72" s="754"/>
      <c r="G72" s="754"/>
      <c r="H72" s="755"/>
    </row>
    <row r="73" spans="1:8" ht="14.1" customHeight="1">
      <c r="A73" s="1273" t="s">
        <v>246</v>
      </c>
      <c r="B73" s="1274"/>
      <c r="C73" s="1274"/>
      <c r="D73" s="754"/>
      <c r="E73" s="754"/>
      <c r="F73" s="754"/>
      <c r="G73" s="754"/>
      <c r="H73" s="755"/>
    </row>
    <row r="74" spans="1:8" ht="14.1" customHeight="1">
      <c r="A74" s="717">
        <v>812</v>
      </c>
      <c r="B74" s="718" t="s">
        <v>427</v>
      </c>
      <c r="C74" s="754"/>
      <c r="D74" s="754"/>
      <c r="E74" s="754"/>
      <c r="F74" s="754"/>
      <c r="G74" s="754">
        <f>D66</f>
        <v>5000000</v>
      </c>
      <c r="H74" s="755"/>
    </row>
    <row r="75" spans="1:8" ht="14.1" customHeight="1">
      <c r="A75" s="756"/>
      <c r="B75" s="719">
        <v>245</v>
      </c>
      <c r="C75" s="753" t="s">
        <v>160</v>
      </c>
      <c r="D75" s="754"/>
      <c r="E75" s="754"/>
      <c r="F75" s="754"/>
      <c r="G75" s="754"/>
      <c r="H75" s="755">
        <f>G74</f>
        <v>5000000</v>
      </c>
    </row>
    <row r="76" spans="1:8" ht="14.1" customHeight="1">
      <c r="A76" s="556" t="s">
        <v>1111</v>
      </c>
      <c r="B76" s="714"/>
      <c r="C76" s="715"/>
      <c r="D76" s="558"/>
      <c r="E76" s="558"/>
      <c r="F76" s="558"/>
      <c r="G76" s="558"/>
      <c r="H76" s="559"/>
    </row>
    <row r="77" spans="1:8" ht="14.1" customHeight="1">
      <c r="A77" s="561">
        <f>A74</f>
        <v>812</v>
      </c>
      <c r="B77" s="562" t="str">
        <f>B74</f>
        <v>Valeurs comptables cess. Immob. Corpo</v>
      </c>
      <c r="C77" s="725"/>
      <c r="D77" s="562">
        <f>B75</f>
        <v>245</v>
      </c>
      <c r="E77" s="562" t="str">
        <f>C75</f>
        <v>Matériel de transport</v>
      </c>
      <c r="F77" s="562"/>
      <c r="G77" s="562"/>
      <c r="H77" s="563">
        <f>H75</f>
        <v>5000000</v>
      </c>
    </row>
    <row r="79" spans="1:8" ht="14.1" customHeight="1">
      <c r="A79" s="1275" t="s">
        <v>643</v>
      </c>
      <c r="B79" s="1276"/>
      <c r="C79" s="1276"/>
      <c r="D79" s="732">
        <v>5000000</v>
      </c>
      <c r="E79" s="751" t="s">
        <v>641</v>
      </c>
      <c r="F79" s="732">
        <v>2300000</v>
      </c>
      <c r="G79" s="758"/>
      <c r="H79" s="759"/>
    </row>
    <row r="80" spans="1:8" ht="14.1" customHeight="1">
      <c r="A80" s="707">
        <v>414</v>
      </c>
      <c r="B80" s="753" t="s">
        <v>329</v>
      </c>
      <c r="C80" s="548"/>
      <c r="D80" s="708"/>
      <c r="E80" s="708"/>
      <c r="F80" s="708"/>
      <c r="G80" s="548">
        <f>SUM(H81:H82)</f>
        <v>2725500</v>
      </c>
      <c r="H80" s="760"/>
    </row>
    <row r="81" spans="1:8" ht="14.1" customHeight="1">
      <c r="A81" s="710"/>
      <c r="B81" s="712">
        <v>8220</v>
      </c>
      <c r="C81" s="1696" t="s">
        <v>642</v>
      </c>
      <c r="D81" s="1696"/>
      <c r="E81" s="548"/>
      <c r="F81" s="548"/>
      <c r="G81" s="548"/>
      <c r="H81" s="732">
        <f>F79</f>
        <v>2300000</v>
      </c>
    </row>
    <row r="82" spans="1:8" ht="14.1" customHeight="1">
      <c r="A82" s="710"/>
      <c r="B82" s="712">
        <v>4431</v>
      </c>
      <c r="C82" s="712" t="s">
        <v>484</v>
      </c>
      <c r="D82" s="708"/>
      <c r="E82" s="554">
        <v>0.185</v>
      </c>
      <c r="F82" s="708"/>
      <c r="G82" s="548"/>
      <c r="H82" s="760">
        <f>H81*E82</f>
        <v>425500</v>
      </c>
    </row>
    <row r="83" spans="1:8" ht="14.1" customHeight="1">
      <c r="A83" s="556" t="s">
        <v>1111</v>
      </c>
      <c r="B83" s="714"/>
      <c r="C83" s="715"/>
      <c r="D83" s="558"/>
      <c r="E83" s="558"/>
      <c r="F83" s="558"/>
      <c r="G83" s="558"/>
      <c r="H83" s="559"/>
    </row>
    <row r="84" spans="1:8" ht="14.1" customHeight="1">
      <c r="A84" s="556">
        <f>A80</f>
        <v>414</v>
      </c>
      <c r="B84" s="558" t="str">
        <f>B80</f>
        <v>Créances Cessions. courantes immobilisations.</v>
      </c>
      <c r="C84" s="716"/>
      <c r="D84" s="558">
        <f>B81</f>
        <v>8220</v>
      </c>
      <c r="E84" s="558" t="str">
        <f>C81</f>
        <v>Produits de cessions Immobilisations corporelles</v>
      </c>
      <c r="F84" s="558"/>
      <c r="G84" s="558"/>
      <c r="H84" s="559">
        <f>G80</f>
        <v>2725500</v>
      </c>
    </row>
    <row r="85" spans="1:8" ht="14.1" customHeight="1">
      <c r="A85" s="710"/>
      <c r="B85" s="712"/>
      <c r="C85" s="712"/>
      <c r="D85" s="708"/>
      <c r="E85" s="708"/>
      <c r="F85" s="708"/>
      <c r="G85" s="548"/>
      <c r="H85" s="760"/>
    </row>
    <row r="86" spans="1:8" ht="14.1" customHeight="1">
      <c r="A86" s="1273" t="s">
        <v>246</v>
      </c>
      <c r="B86" s="1257"/>
      <c r="C86" s="1257"/>
      <c r="D86" s="708"/>
      <c r="E86" s="708"/>
      <c r="F86" s="708"/>
      <c r="G86" s="549"/>
      <c r="H86" s="550"/>
    </row>
    <row r="87" spans="1:8" ht="14.1" customHeight="1">
      <c r="A87" s="717">
        <v>2845</v>
      </c>
      <c r="B87" s="718" t="s">
        <v>316</v>
      </c>
      <c r="C87" s="548"/>
      <c r="D87" s="708"/>
      <c r="E87" s="708"/>
      <c r="F87" s="708"/>
      <c r="G87" s="732">
        <v>10000</v>
      </c>
      <c r="H87" s="760"/>
    </row>
    <row r="88" spans="1:8" ht="14.1" customHeight="1">
      <c r="A88" s="717">
        <v>812</v>
      </c>
      <c r="B88" s="761" t="s">
        <v>427</v>
      </c>
      <c r="C88" s="548"/>
      <c r="D88" s="708"/>
      <c r="E88" s="708"/>
      <c r="F88" s="708"/>
      <c r="G88" s="548">
        <f>H81</f>
        <v>2300000</v>
      </c>
      <c r="H88" s="760"/>
    </row>
    <row r="89" spans="1:8" ht="14.1" customHeight="1">
      <c r="A89" s="710"/>
      <c r="B89" s="719">
        <v>245</v>
      </c>
      <c r="C89" s="753" t="s">
        <v>160</v>
      </c>
      <c r="D89" s="708"/>
      <c r="E89" s="708"/>
      <c r="F89" s="708"/>
      <c r="G89" s="548"/>
      <c r="H89" s="760">
        <f>SUM(G87:G88)</f>
        <v>2310000</v>
      </c>
    </row>
    <row r="90" spans="1:8" ht="14.1" customHeight="1">
      <c r="A90" s="556" t="s">
        <v>1111</v>
      </c>
      <c r="B90" s="720"/>
      <c r="C90" s="721"/>
      <c r="D90" s="716"/>
      <c r="E90" s="716"/>
      <c r="F90" s="716"/>
      <c r="G90" s="716"/>
      <c r="H90" s="722"/>
    </row>
    <row r="91" spans="1:8" ht="14.1" customHeight="1">
      <c r="A91" s="723">
        <f>A87</f>
        <v>2845</v>
      </c>
      <c r="B91" s="716" t="str">
        <f>B87</f>
        <v>Amortissements. matériel transport</v>
      </c>
      <c r="C91" s="716"/>
      <c r="D91" s="716">
        <f>B89</f>
        <v>245</v>
      </c>
      <c r="E91" s="716" t="str">
        <f>C89</f>
        <v>Matériel de transport</v>
      </c>
      <c r="F91" s="716"/>
      <c r="G91" s="716"/>
      <c r="H91" s="722">
        <f>G87</f>
        <v>10000</v>
      </c>
    </row>
    <row r="92" spans="1:8" ht="14.1" customHeight="1">
      <c r="A92" s="724">
        <f>A88</f>
        <v>812</v>
      </c>
      <c r="B92" s="725" t="str">
        <f>B88</f>
        <v>Valeurs comptables cess. Immob. Corpo</v>
      </c>
      <c r="C92" s="762"/>
      <c r="D92" s="726">
        <f>D91</f>
        <v>245</v>
      </c>
      <c r="E92" s="726" t="str">
        <f>E91</f>
        <v>Matériel de transport</v>
      </c>
      <c r="F92" s="726"/>
      <c r="G92" s="763"/>
      <c r="H92" s="764">
        <f>G88</f>
        <v>2300000</v>
      </c>
    </row>
    <row r="93" spans="1:8" ht="14.1" customHeight="1">
      <c r="A93" s="708"/>
      <c r="B93" s="719"/>
      <c r="C93" s="753"/>
      <c r="D93" s="708"/>
      <c r="E93" s="708"/>
      <c r="F93" s="708"/>
      <c r="G93" s="548"/>
      <c r="H93" s="548"/>
    </row>
    <row r="94" spans="1:8" ht="14.1" customHeight="1">
      <c r="A94" s="1264" t="s">
        <v>644</v>
      </c>
      <c r="B94" s="1277"/>
      <c r="C94" s="1258"/>
      <c r="D94" s="545"/>
      <c r="E94" s="545"/>
      <c r="F94" s="545"/>
      <c r="G94" s="545"/>
      <c r="H94" s="546"/>
    </row>
    <row r="95" spans="1:8" ht="14.1" customHeight="1">
      <c r="A95" s="765">
        <v>275</v>
      </c>
      <c r="B95" s="766" t="s">
        <v>645</v>
      </c>
      <c r="C95" s="549"/>
      <c r="D95" s="549"/>
      <c r="E95" s="549"/>
      <c r="F95" s="549"/>
      <c r="G95" s="732">
        <v>3000000</v>
      </c>
      <c r="H95" s="760"/>
    </row>
    <row r="96" spans="1:8" ht="14.1" customHeight="1">
      <c r="A96" s="547"/>
      <c r="B96" s="719">
        <v>520</v>
      </c>
      <c r="C96" s="566" t="s">
        <v>170</v>
      </c>
      <c r="D96" s="549"/>
      <c r="E96" s="549"/>
      <c r="F96" s="549"/>
      <c r="G96" s="548"/>
      <c r="H96" s="760">
        <f>G95</f>
        <v>3000000</v>
      </c>
    </row>
    <row r="97" spans="1:8" ht="14.1" customHeight="1">
      <c r="A97" s="556" t="s">
        <v>1111</v>
      </c>
      <c r="B97" s="714"/>
      <c r="C97" s="715"/>
      <c r="D97" s="558"/>
      <c r="E97" s="558"/>
      <c r="F97" s="558"/>
      <c r="G97" s="558"/>
      <c r="H97" s="559"/>
    </row>
    <row r="98" spans="1:8" ht="14.1" customHeight="1">
      <c r="A98" s="556">
        <f>A95</f>
        <v>275</v>
      </c>
      <c r="B98" s="558" t="str">
        <f>B95</f>
        <v>Dépôt et Caution versé par l'entreprise</v>
      </c>
      <c r="C98" s="716"/>
      <c r="D98" s="558">
        <f>B96</f>
        <v>520</v>
      </c>
      <c r="E98" s="558" t="str">
        <f>C96</f>
        <v>Banques cpte en monnaie nationale</v>
      </c>
      <c r="F98" s="558"/>
      <c r="G98" s="558"/>
      <c r="H98" s="559">
        <f>H96</f>
        <v>3000000</v>
      </c>
    </row>
    <row r="99" spans="1:8" ht="14.1" customHeight="1">
      <c r="A99" s="547"/>
      <c r="B99" s="719"/>
      <c r="C99" s="566"/>
      <c r="D99" s="549"/>
      <c r="E99" s="549"/>
      <c r="F99" s="549"/>
      <c r="G99" s="548"/>
      <c r="H99" s="760"/>
    </row>
    <row r="100" spans="1:8" ht="14.1" customHeight="1">
      <c r="A100" s="1266" t="s">
        <v>646</v>
      </c>
      <c r="B100" s="1278"/>
      <c r="C100" s="1257"/>
      <c r="D100" s="549"/>
      <c r="E100" s="549"/>
      <c r="F100" s="549"/>
      <c r="G100" s="549"/>
      <c r="H100" s="550"/>
    </row>
    <row r="101" spans="1:8" ht="14.1" customHeight="1">
      <c r="A101" s="553"/>
      <c r="B101" s="548"/>
      <c r="C101" s="549"/>
      <c r="D101" s="549"/>
      <c r="E101" s="549"/>
      <c r="F101" s="549"/>
      <c r="G101" s="548"/>
      <c r="H101" s="760"/>
    </row>
    <row r="102" spans="1:8" ht="14.1" customHeight="1">
      <c r="A102" s="735">
        <v>6232</v>
      </c>
      <c r="B102" s="712" t="s">
        <v>376</v>
      </c>
      <c r="C102" s="708"/>
      <c r="D102" s="549"/>
      <c r="E102" s="549"/>
      <c r="F102" s="549"/>
      <c r="G102" s="732">
        <v>300000</v>
      </c>
      <c r="H102" s="760"/>
    </row>
    <row r="103" spans="1:8" ht="14.1" customHeight="1">
      <c r="A103" s="736">
        <v>4431</v>
      </c>
      <c r="B103" s="712" t="s">
        <v>484</v>
      </c>
      <c r="C103" s="708"/>
      <c r="D103" s="549" t="s">
        <v>70</v>
      </c>
      <c r="E103" s="554">
        <v>0.185</v>
      </c>
      <c r="F103" s="549"/>
      <c r="G103" s="548">
        <f>G102*E103</f>
        <v>55500</v>
      </c>
      <c r="H103" s="760"/>
    </row>
    <row r="104" spans="1:8" ht="14.1" customHeight="1">
      <c r="A104" s="553"/>
      <c r="B104" s="548">
        <v>520</v>
      </c>
      <c r="C104" s="548" t="s">
        <v>170</v>
      </c>
      <c r="D104" s="549"/>
      <c r="E104" s="549"/>
      <c r="F104" s="549"/>
      <c r="G104" s="548"/>
      <c r="H104" s="760">
        <f>SUM(G102:G103)</f>
        <v>355500</v>
      </c>
    </row>
    <row r="105" spans="1:8" ht="14.1" customHeight="1">
      <c r="A105" s="556" t="s">
        <v>1111</v>
      </c>
      <c r="B105" s="714"/>
      <c r="C105" s="715"/>
      <c r="D105" s="558"/>
      <c r="E105" s="558"/>
      <c r="F105" s="558"/>
      <c r="G105" s="558"/>
      <c r="H105" s="559"/>
    </row>
    <row r="106" spans="1:8" ht="14.1" customHeight="1">
      <c r="A106" s="556">
        <f>A103</f>
        <v>4431</v>
      </c>
      <c r="B106" s="558" t="str">
        <f>B103</f>
        <v>T.V.A. facturée sur ventes</v>
      </c>
      <c r="C106" s="716"/>
      <c r="D106" s="558">
        <f>B104</f>
        <v>520</v>
      </c>
      <c r="E106" s="558" t="str">
        <f>C104</f>
        <v>Banques cpte en monnaie nationale</v>
      </c>
      <c r="F106" s="558"/>
      <c r="G106" s="558"/>
      <c r="H106" s="559">
        <f>H104</f>
        <v>355500</v>
      </c>
    </row>
    <row r="107" spans="1:8" ht="14.1" customHeight="1">
      <c r="A107" s="553"/>
      <c r="B107" s="548"/>
      <c r="C107" s="548"/>
      <c r="D107" s="549"/>
      <c r="E107" s="549"/>
      <c r="F107" s="549"/>
      <c r="G107" s="548"/>
      <c r="H107" s="760"/>
    </row>
    <row r="108" spans="1:8" ht="14.1" customHeight="1">
      <c r="A108" s="1266" t="s">
        <v>647</v>
      </c>
      <c r="B108" s="1257"/>
      <c r="C108" s="1257"/>
      <c r="D108" s="549"/>
      <c r="E108" s="549"/>
      <c r="F108" s="549"/>
      <c r="G108" s="549"/>
      <c r="H108" s="550"/>
    </row>
    <row r="109" spans="1:8" ht="14.1" customHeight="1">
      <c r="A109" s="707">
        <v>476</v>
      </c>
      <c r="B109" s="753" t="s">
        <v>171</v>
      </c>
      <c r="C109" s="708"/>
      <c r="D109" s="549"/>
      <c r="E109" s="549"/>
      <c r="F109" s="549"/>
      <c r="G109" s="732">
        <v>50000</v>
      </c>
      <c r="H109" s="760"/>
    </row>
    <row r="110" spans="1:8" ht="14.1" customHeight="1">
      <c r="A110" s="710"/>
      <c r="B110" s="548">
        <v>6232</v>
      </c>
      <c r="C110" s="548" t="s">
        <v>376</v>
      </c>
      <c r="D110" s="549"/>
      <c r="E110" s="549"/>
      <c r="F110" s="549"/>
      <c r="G110" s="548"/>
      <c r="H110" s="760">
        <f>G109</f>
        <v>50000</v>
      </c>
    </row>
    <row r="111" spans="1:8" ht="14.1" customHeight="1">
      <c r="A111" s="556" t="s">
        <v>1111</v>
      </c>
      <c r="B111" s="714"/>
      <c r="C111" s="715"/>
      <c r="D111" s="558"/>
      <c r="E111" s="558"/>
      <c r="F111" s="558"/>
      <c r="G111" s="558"/>
      <c r="H111" s="559"/>
    </row>
    <row r="112" spans="1:8" ht="14.1" customHeight="1">
      <c r="A112" s="561">
        <f>A109</f>
        <v>476</v>
      </c>
      <c r="B112" s="562" t="str">
        <f>B109</f>
        <v>Charges constatées d'avance</v>
      </c>
      <c r="C112" s="725"/>
      <c r="D112" s="562">
        <f>B110</f>
        <v>6232</v>
      </c>
      <c r="E112" s="562" t="str">
        <f>C110</f>
        <v>Crédit-bail immobilier &amp; immobilier</v>
      </c>
      <c r="F112" s="562"/>
      <c r="G112" s="562"/>
      <c r="H112" s="563">
        <f>H110</f>
        <v>50000</v>
      </c>
    </row>
    <row r="113" spans="1:8" ht="14.1" customHeight="1">
      <c r="A113" s="767"/>
      <c r="B113" s="767"/>
      <c r="C113" s="767"/>
      <c r="D113" s="767"/>
      <c r="E113" s="767"/>
      <c r="F113" s="767"/>
      <c r="G113" s="767"/>
      <c r="H113" s="767"/>
    </row>
    <row r="114" spans="1:8" ht="14.1" customHeight="1">
      <c r="A114" s="767"/>
      <c r="B114" s="767"/>
      <c r="C114" s="767"/>
      <c r="D114" s="767"/>
      <c r="E114" s="767"/>
      <c r="F114" s="767"/>
      <c r="G114" s="767"/>
      <c r="H114" s="767"/>
    </row>
    <row r="115" spans="1:8" ht="14.1" customHeight="1">
      <c r="A115" s="767"/>
      <c r="B115" s="767"/>
      <c r="C115" s="767"/>
      <c r="D115" s="767"/>
      <c r="E115" s="767"/>
      <c r="F115" s="767"/>
      <c r="G115" s="767"/>
      <c r="H115" s="767"/>
    </row>
    <row r="116" spans="1:8" ht="14.1" customHeight="1">
      <c r="A116" s="767"/>
      <c r="B116" s="767"/>
      <c r="C116" s="767"/>
      <c r="D116" s="767"/>
      <c r="E116" s="767"/>
      <c r="F116" s="767"/>
      <c r="G116" s="767"/>
      <c r="H116" s="767"/>
    </row>
    <row r="117" spans="1:8" ht="14.1" customHeight="1">
      <c r="A117" s="767"/>
      <c r="B117" s="767"/>
      <c r="C117" s="767"/>
      <c r="D117" s="767"/>
      <c r="E117" s="767"/>
      <c r="F117" s="767"/>
      <c r="G117" s="767"/>
      <c r="H117" s="767"/>
    </row>
    <row r="118" spans="1:8" ht="14.1" customHeight="1">
      <c r="A118" s="767"/>
      <c r="B118" s="767"/>
      <c r="C118" s="767"/>
      <c r="D118" s="767"/>
      <c r="E118" s="767"/>
      <c r="F118" s="767"/>
      <c r="G118" s="767"/>
      <c r="H118" s="767"/>
    </row>
  </sheetData>
  <mergeCells count="2">
    <mergeCell ref="C68:D68"/>
    <mergeCell ref="C81:D8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codeName="Feuil1"/>
  <dimension ref="A1:AMJ391"/>
  <sheetViews>
    <sheetView zoomScale="110" zoomScaleNormal="110" workbookViewId="0">
      <pane ySplit="1" topLeftCell="A2" activePane="bottomLeft" state="frozen"/>
      <selection pane="bottomLeft" activeCell="C12" sqref="C12"/>
    </sheetView>
  </sheetViews>
  <sheetFormatPr baseColWidth="10" defaultRowHeight="12.75"/>
  <cols>
    <col min="1" max="1" width="12.28515625" style="512" customWidth="1"/>
    <col min="2" max="2" width="94.42578125" style="1551" customWidth="1"/>
    <col min="3" max="8" width="12.28515625" style="508" customWidth="1"/>
    <col min="9" max="9" width="12.28515625" style="508" hidden="1" customWidth="1"/>
    <col min="10" max="1024" width="12.28515625" style="508" customWidth="1"/>
    <col min="1025" max="16384" width="11.42578125" style="114"/>
  </cols>
  <sheetData>
    <row r="1" spans="1:9" ht="15.75">
      <c r="A1" s="855" t="s">
        <v>511</v>
      </c>
      <c r="B1" s="1538" t="s">
        <v>1530</v>
      </c>
    </row>
    <row r="2" spans="1:9">
      <c r="A2" s="503"/>
      <c r="B2" s="1539"/>
    </row>
    <row r="3" spans="1:9">
      <c r="A3" s="1533">
        <v>101</v>
      </c>
      <c r="B3" s="1540" t="s">
        <v>1604</v>
      </c>
    </row>
    <row r="4" spans="1:9">
      <c r="A4" s="1526" t="s">
        <v>254</v>
      </c>
      <c r="B4" s="1541" t="s">
        <v>255</v>
      </c>
      <c r="I4" s="1204">
        <f>Bilanouverture!H3</f>
        <v>40544</v>
      </c>
    </row>
    <row r="5" spans="1:9">
      <c r="A5" s="1526">
        <v>1012</v>
      </c>
      <c r="B5" s="1541" t="s">
        <v>256</v>
      </c>
      <c r="I5" s="1204">
        <f>I4+1</f>
        <v>40545</v>
      </c>
    </row>
    <row r="6" spans="1:9">
      <c r="A6" s="1526">
        <v>1013</v>
      </c>
      <c r="B6" s="1541" t="s">
        <v>257</v>
      </c>
      <c r="I6" s="1204">
        <f t="shared" ref="I6:I92" si="0">I5+1</f>
        <v>40546</v>
      </c>
    </row>
    <row r="7" spans="1:9">
      <c r="A7" s="1526">
        <v>1020</v>
      </c>
      <c r="B7" s="1542" t="s">
        <v>1656</v>
      </c>
      <c r="I7" s="1204">
        <f t="shared" si="0"/>
        <v>40547</v>
      </c>
    </row>
    <row r="8" spans="1:9">
      <c r="A8" s="1526">
        <v>103</v>
      </c>
      <c r="B8" s="1541" t="s">
        <v>1657</v>
      </c>
      <c r="I8" s="1204">
        <f t="shared" si="0"/>
        <v>40548</v>
      </c>
    </row>
    <row r="9" spans="1:9">
      <c r="A9" s="1526">
        <v>104</v>
      </c>
      <c r="B9" s="1541" t="s">
        <v>1658</v>
      </c>
      <c r="I9" s="1204">
        <f t="shared" si="0"/>
        <v>40549</v>
      </c>
    </row>
    <row r="10" spans="1:9">
      <c r="A10" s="1526">
        <v>1051</v>
      </c>
      <c r="B10" s="1541" t="s">
        <v>258</v>
      </c>
      <c r="I10" s="1204">
        <f t="shared" si="0"/>
        <v>40550</v>
      </c>
    </row>
    <row r="11" spans="1:9">
      <c r="A11" s="1526">
        <v>1052</v>
      </c>
      <c r="B11" s="1541" t="s">
        <v>259</v>
      </c>
      <c r="I11" s="1204">
        <f t="shared" si="0"/>
        <v>40551</v>
      </c>
    </row>
    <row r="12" spans="1:9">
      <c r="A12" s="1526">
        <v>1053</v>
      </c>
      <c r="B12" s="1541" t="s">
        <v>260</v>
      </c>
      <c r="I12" s="1204">
        <f t="shared" si="0"/>
        <v>40552</v>
      </c>
    </row>
    <row r="13" spans="1:9">
      <c r="A13" s="1526">
        <v>1054</v>
      </c>
      <c r="B13" s="1541" t="s">
        <v>261</v>
      </c>
      <c r="I13" s="1204">
        <f t="shared" si="0"/>
        <v>40553</v>
      </c>
    </row>
    <row r="14" spans="1:9">
      <c r="A14" s="1526">
        <v>1058</v>
      </c>
      <c r="B14" s="1541" t="s">
        <v>262</v>
      </c>
      <c r="I14" s="1204">
        <f t="shared" si="0"/>
        <v>40554</v>
      </c>
    </row>
    <row r="15" spans="1:9">
      <c r="A15" s="1526">
        <v>111</v>
      </c>
      <c r="B15" s="1541" t="s">
        <v>263</v>
      </c>
      <c r="I15" s="1204">
        <f t="shared" si="0"/>
        <v>40555</v>
      </c>
    </row>
    <row r="16" spans="1:9">
      <c r="A16" s="1526">
        <v>112</v>
      </c>
      <c r="B16" s="1541" t="s">
        <v>172</v>
      </c>
      <c r="I16" s="1204">
        <f t="shared" si="0"/>
        <v>40556</v>
      </c>
    </row>
    <row r="17" spans="1:9">
      <c r="A17" s="1526">
        <v>113</v>
      </c>
      <c r="B17" s="1541" t="s">
        <v>173</v>
      </c>
      <c r="I17" s="1204">
        <f t="shared" si="0"/>
        <v>40557</v>
      </c>
    </row>
    <row r="18" spans="1:9">
      <c r="A18" s="1526">
        <v>1181</v>
      </c>
      <c r="B18" s="1541" t="s">
        <v>264</v>
      </c>
      <c r="I18" s="1204">
        <f t="shared" si="0"/>
        <v>40558</v>
      </c>
    </row>
    <row r="19" spans="1:9">
      <c r="A19" s="1527">
        <v>121</v>
      </c>
      <c r="B19" s="1542" t="s">
        <v>1611</v>
      </c>
      <c r="I19" s="1204">
        <f t="shared" si="0"/>
        <v>40559</v>
      </c>
    </row>
    <row r="20" spans="1:9">
      <c r="A20" s="1527">
        <v>129</v>
      </c>
      <c r="B20" s="1542" t="s">
        <v>1625</v>
      </c>
      <c r="I20" s="1204">
        <f t="shared" si="0"/>
        <v>40560</v>
      </c>
    </row>
    <row r="21" spans="1:9">
      <c r="A21" s="1528">
        <v>131</v>
      </c>
      <c r="B21" s="1543" t="s">
        <v>1638</v>
      </c>
      <c r="I21" s="1204">
        <f t="shared" si="0"/>
        <v>40561</v>
      </c>
    </row>
    <row r="22" spans="1:9">
      <c r="A22" s="1529">
        <v>139</v>
      </c>
      <c r="B22" s="1543" t="s">
        <v>1637</v>
      </c>
      <c r="I22" s="1204"/>
    </row>
    <row r="23" spans="1:9">
      <c r="A23" s="1534">
        <v>140</v>
      </c>
      <c r="B23" s="1540" t="s">
        <v>1609</v>
      </c>
      <c r="I23" s="1204"/>
    </row>
    <row r="24" spans="1:9">
      <c r="A24" s="1534">
        <v>150</v>
      </c>
      <c r="B24" s="1540" t="s">
        <v>1612</v>
      </c>
      <c r="I24" s="1204"/>
    </row>
    <row r="25" spans="1:9">
      <c r="A25" s="1534">
        <v>161</v>
      </c>
      <c r="B25" s="1540" t="s">
        <v>1621</v>
      </c>
      <c r="I25" s="1204"/>
    </row>
    <row r="26" spans="1:9" ht="15">
      <c r="A26" s="1534">
        <v>162</v>
      </c>
      <c r="B26" s="1544" t="s">
        <v>1622</v>
      </c>
      <c r="I26" s="1204"/>
    </row>
    <row r="27" spans="1:9" ht="15">
      <c r="A27" s="1534">
        <v>164</v>
      </c>
      <c r="B27" s="1544" t="s">
        <v>1639</v>
      </c>
      <c r="I27" s="1204"/>
    </row>
    <row r="28" spans="1:9">
      <c r="A28" s="1534">
        <v>165</v>
      </c>
      <c r="B28" s="1540" t="s">
        <v>1623</v>
      </c>
      <c r="I28" s="1204"/>
    </row>
    <row r="29" spans="1:9" ht="15">
      <c r="A29" s="1534">
        <v>166</v>
      </c>
      <c r="B29" s="1544" t="s">
        <v>1624</v>
      </c>
      <c r="I29" s="1204"/>
    </row>
    <row r="30" spans="1:9">
      <c r="A30" s="1534">
        <v>170</v>
      </c>
      <c r="B30" s="1540" t="s">
        <v>1608</v>
      </c>
      <c r="I30" s="1204"/>
    </row>
    <row r="31" spans="1:9" ht="15">
      <c r="A31" s="1535">
        <v>184</v>
      </c>
      <c r="B31" s="1544" t="s">
        <v>1640</v>
      </c>
      <c r="I31" s="1204"/>
    </row>
    <row r="32" spans="1:9">
      <c r="A32" s="1526">
        <v>191</v>
      </c>
      <c r="B32" s="1541" t="s">
        <v>267</v>
      </c>
      <c r="I32" s="1204">
        <f>I21+1</f>
        <v>40562</v>
      </c>
    </row>
    <row r="33" spans="1:9">
      <c r="A33" s="1526">
        <v>192</v>
      </c>
      <c r="B33" s="1541" t="s">
        <v>268</v>
      </c>
      <c r="I33" s="1204">
        <f t="shared" si="0"/>
        <v>40563</v>
      </c>
    </row>
    <row r="34" spans="1:9">
      <c r="A34" s="1526">
        <v>194</v>
      </c>
      <c r="B34" s="1541" t="s">
        <v>269</v>
      </c>
      <c r="I34" s="1204">
        <f t="shared" si="0"/>
        <v>40564</v>
      </c>
    </row>
    <row r="35" spans="1:9">
      <c r="A35" s="1526">
        <v>195</v>
      </c>
      <c r="B35" s="1541" t="s">
        <v>270</v>
      </c>
      <c r="I35" s="1204">
        <f t="shared" si="0"/>
        <v>40565</v>
      </c>
    </row>
    <row r="36" spans="1:9">
      <c r="A36" s="1526">
        <v>197</v>
      </c>
      <c r="B36" s="1541" t="s">
        <v>271</v>
      </c>
      <c r="I36" s="1204">
        <f t="shared" si="0"/>
        <v>40566</v>
      </c>
    </row>
    <row r="37" spans="1:9">
      <c r="A37" s="1526">
        <v>1971</v>
      </c>
      <c r="B37" s="1541" t="s">
        <v>272</v>
      </c>
      <c r="I37" s="1204">
        <f t="shared" si="0"/>
        <v>40567</v>
      </c>
    </row>
    <row r="38" spans="1:9">
      <c r="A38" s="1526">
        <v>1981</v>
      </c>
      <c r="B38" s="1541" t="s">
        <v>273</v>
      </c>
      <c r="I38" s="1204">
        <f t="shared" si="0"/>
        <v>40568</v>
      </c>
    </row>
    <row r="39" spans="1:9">
      <c r="A39" s="1526">
        <v>1982</v>
      </c>
      <c r="B39" s="1541" t="s">
        <v>274</v>
      </c>
      <c r="I39" s="1204">
        <f t="shared" si="0"/>
        <v>40569</v>
      </c>
    </row>
    <row r="40" spans="1:9">
      <c r="A40" s="1526">
        <v>4011</v>
      </c>
      <c r="B40" s="1541" t="s">
        <v>276</v>
      </c>
      <c r="I40" s="1204" t="e">
        <f>#REF!+1</f>
        <v>#REF!</v>
      </c>
    </row>
    <row r="41" spans="1:9">
      <c r="A41" s="1526">
        <v>4012</v>
      </c>
      <c r="B41" s="1541" t="s">
        <v>277</v>
      </c>
      <c r="I41" s="1204" t="e">
        <f t="shared" si="0"/>
        <v>#REF!</v>
      </c>
    </row>
    <row r="42" spans="1:9">
      <c r="A42" s="1526">
        <v>4021</v>
      </c>
      <c r="B42" s="1541" t="s">
        <v>278</v>
      </c>
      <c r="I42" s="1204" t="e">
        <f t="shared" si="0"/>
        <v>#REF!</v>
      </c>
    </row>
    <row r="43" spans="1:9">
      <c r="A43" s="1526">
        <v>4022</v>
      </c>
      <c r="B43" s="1541" t="s">
        <v>279</v>
      </c>
      <c r="I43" s="1204" t="e">
        <f t="shared" si="0"/>
        <v>#REF!</v>
      </c>
    </row>
    <row r="44" spans="1:9">
      <c r="A44" s="1526">
        <v>4081</v>
      </c>
      <c r="B44" s="1541" t="s">
        <v>280</v>
      </c>
      <c r="I44" s="1204" t="e">
        <f t="shared" si="0"/>
        <v>#REF!</v>
      </c>
    </row>
    <row r="45" spans="1:9">
      <c r="A45" s="1526">
        <v>4086</v>
      </c>
      <c r="B45" s="1541" t="s">
        <v>281</v>
      </c>
      <c r="I45" s="1204" t="e">
        <f t="shared" si="0"/>
        <v>#REF!</v>
      </c>
    </row>
    <row r="46" spans="1:9">
      <c r="A46" s="1526">
        <v>4091</v>
      </c>
      <c r="B46" s="1541" t="s">
        <v>282</v>
      </c>
      <c r="I46" s="1204" t="e">
        <f t="shared" si="0"/>
        <v>#REF!</v>
      </c>
    </row>
    <row r="47" spans="1:9">
      <c r="A47" s="1526">
        <v>4094</v>
      </c>
      <c r="B47" s="1541" t="s">
        <v>283</v>
      </c>
      <c r="I47" s="1204" t="e">
        <f t="shared" si="0"/>
        <v>#REF!</v>
      </c>
    </row>
    <row r="48" spans="1:9">
      <c r="A48" s="1526">
        <v>4098</v>
      </c>
      <c r="B48" s="1541" t="s">
        <v>284</v>
      </c>
      <c r="I48" s="1204" t="e">
        <f t="shared" si="0"/>
        <v>#REF!</v>
      </c>
    </row>
    <row r="49" spans="1:9">
      <c r="A49" s="1527">
        <v>431</v>
      </c>
      <c r="B49" s="1542" t="s">
        <v>285</v>
      </c>
      <c r="I49" s="1204" t="e">
        <f t="shared" si="0"/>
        <v>#REF!</v>
      </c>
    </row>
    <row r="50" spans="1:9">
      <c r="A50" s="1527">
        <v>433</v>
      </c>
      <c r="B50" s="1542" t="s">
        <v>286</v>
      </c>
      <c r="I50" s="1204" t="e">
        <f t="shared" si="0"/>
        <v>#REF!</v>
      </c>
    </row>
    <row r="51" spans="1:9">
      <c r="A51" s="1527">
        <v>438</v>
      </c>
      <c r="B51" s="1542" t="s">
        <v>287</v>
      </c>
      <c r="I51" s="1204" t="e">
        <f t="shared" si="0"/>
        <v>#REF!</v>
      </c>
    </row>
    <row r="52" spans="1:9">
      <c r="A52" s="1527">
        <v>465</v>
      </c>
      <c r="B52" s="1542" t="s">
        <v>288</v>
      </c>
      <c r="I52" s="1204" t="e">
        <f t="shared" si="0"/>
        <v>#REF!</v>
      </c>
    </row>
    <row r="53" spans="1:9">
      <c r="A53" s="1528">
        <v>4640</v>
      </c>
      <c r="B53" s="1545" t="s">
        <v>174</v>
      </c>
      <c r="I53" s="1204" t="e">
        <f t="shared" si="0"/>
        <v>#REF!</v>
      </c>
    </row>
    <row r="54" spans="1:9">
      <c r="A54" s="1528">
        <v>4680</v>
      </c>
      <c r="B54" s="1545" t="s">
        <v>1</v>
      </c>
      <c r="I54" s="1204" t="e">
        <f t="shared" si="0"/>
        <v>#REF!</v>
      </c>
    </row>
    <row r="55" spans="1:9">
      <c r="A55" s="1536">
        <v>441</v>
      </c>
      <c r="B55" s="1546" t="s">
        <v>479</v>
      </c>
      <c r="I55" s="1204"/>
    </row>
    <row r="56" spans="1:9" ht="15">
      <c r="A56" s="1535">
        <v>442</v>
      </c>
      <c r="B56" s="1544" t="s">
        <v>1627</v>
      </c>
      <c r="I56" s="1204"/>
    </row>
    <row r="57" spans="1:9" ht="15">
      <c r="A57" s="1535">
        <v>443</v>
      </c>
      <c r="B57" s="1544" t="s">
        <v>1620</v>
      </c>
      <c r="I57" s="1204"/>
    </row>
    <row r="58" spans="1:9" ht="15">
      <c r="A58" s="1535">
        <v>4435</v>
      </c>
      <c r="B58" s="1544" t="s">
        <v>1628</v>
      </c>
      <c r="I58" s="1204"/>
    </row>
    <row r="59" spans="1:9" ht="15">
      <c r="A59" s="1535">
        <v>446</v>
      </c>
      <c r="B59" s="1544" t="s">
        <v>1629</v>
      </c>
      <c r="I59" s="1204"/>
    </row>
    <row r="60" spans="1:9" ht="15">
      <c r="A60" s="1535">
        <v>447</v>
      </c>
      <c r="B60" s="1544" t="s">
        <v>1630</v>
      </c>
      <c r="I60" s="1204"/>
    </row>
    <row r="61" spans="1:9" ht="15">
      <c r="A61" s="1535">
        <v>4486</v>
      </c>
      <c r="B61" s="1544" t="s">
        <v>1626</v>
      </c>
      <c r="I61" s="1204"/>
    </row>
    <row r="62" spans="1:9">
      <c r="A62" s="1536">
        <v>185</v>
      </c>
      <c r="B62" s="1546" t="s">
        <v>1641</v>
      </c>
      <c r="I62" s="1204"/>
    </row>
    <row r="63" spans="1:9">
      <c r="A63" s="1536">
        <v>4712</v>
      </c>
      <c r="B63" s="1546" t="s">
        <v>1631</v>
      </c>
      <c r="I63" s="1204"/>
    </row>
    <row r="64" spans="1:9">
      <c r="A64" s="1536">
        <v>4726</v>
      </c>
      <c r="B64" s="1546" t="s">
        <v>1632</v>
      </c>
      <c r="I64" s="1204"/>
    </row>
    <row r="65" spans="1:9">
      <c r="A65" s="1536">
        <v>4727</v>
      </c>
      <c r="B65" s="1546" t="s">
        <v>1633</v>
      </c>
      <c r="I65" s="1204"/>
    </row>
    <row r="66" spans="1:9">
      <c r="A66" s="1536">
        <v>4726</v>
      </c>
      <c r="B66" s="1546" t="s">
        <v>1634</v>
      </c>
      <c r="I66" s="1204"/>
    </row>
    <row r="67" spans="1:9">
      <c r="A67" s="1536">
        <v>499</v>
      </c>
      <c r="B67" s="1546" t="s">
        <v>1635</v>
      </c>
      <c r="I67" s="1204"/>
    </row>
    <row r="68" spans="1:9">
      <c r="A68" s="1536">
        <v>599</v>
      </c>
      <c r="B68" s="1546" t="s">
        <v>1642</v>
      </c>
      <c r="I68" s="1204"/>
    </row>
    <row r="69" spans="1:9">
      <c r="A69" s="1537">
        <v>561</v>
      </c>
      <c r="B69" s="1547" t="s">
        <v>1605</v>
      </c>
      <c r="I69" s="1204"/>
    </row>
    <row r="70" spans="1:9" ht="15">
      <c r="A70" s="1535">
        <v>564</v>
      </c>
      <c r="B70" s="1544" t="s">
        <v>1616</v>
      </c>
      <c r="I70" s="1204"/>
    </row>
    <row r="71" spans="1:9" ht="15">
      <c r="A71" s="1535">
        <v>565</v>
      </c>
      <c r="B71" s="1544" t="s">
        <v>1617</v>
      </c>
      <c r="I71" s="1204"/>
    </row>
    <row r="72" spans="1:9">
      <c r="A72" s="1537">
        <v>566</v>
      </c>
      <c r="B72" s="1547" t="s">
        <v>1618</v>
      </c>
      <c r="I72" s="1204"/>
    </row>
    <row r="73" spans="1:9">
      <c r="A73" s="1537">
        <v>52</v>
      </c>
      <c r="B73" s="1547" t="s">
        <v>1619</v>
      </c>
      <c r="I73" s="1204"/>
    </row>
    <row r="74" spans="1:9">
      <c r="A74" s="1527">
        <v>477</v>
      </c>
      <c r="B74" s="1542" t="s">
        <v>886</v>
      </c>
      <c r="I74" s="1204" t="e">
        <f>I54+1</f>
        <v>#REF!</v>
      </c>
    </row>
    <row r="75" spans="1:9">
      <c r="A75" s="1530">
        <v>479</v>
      </c>
      <c r="B75" s="1542" t="s">
        <v>1597</v>
      </c>
      <c r="I75" s="1204" t="e">
        <f t="shared" si="0"/>
        <v>#REF!</v>
      </c>
    </row>
    <row r="76" spans="1:9">
      <c r="A76" s="1559">
        <v>211</v>
      </c>
      <c r="B76" s="1542" t="s">
        <v>289</v>
      </c>
      <c r="I76" s="1204" t="e">
        <f t="shared" si="0"/>
        <v>#REF!</v>
      </c>
    </row>
    <row r="77" spans="1:9">
      <c r="A77" s="1527">
        <v>2811</v>
      </c>
      <c r="B77" s="1542" t="s">
        <v>290</v>
      </c>
      <c r="I77" s="1204" t="e">
        <f t="shared" si="0"/>
        <v>#REF!</v>
      </c>
    </row>
    <row r="78" spans="1:9">
      <c r="A78" s="1527">
        <v>212</v>
      </c>
      <c r="B78" s="1542" t="s">
        <v>291</v>
      </c>
      <c r="I78" s="1204" t="e">
        <f t="shared" si="0"/>
        <v>#REF!</v>
      </c>
    </row>
    <row r="79" spans="1:9">
      <c r="A79" s="1527">
        <v>2812</v>
      </c>
      <c r="B79" s="1542" t="s">
        <v>292</v>
      </c>
      <c r="I79" s="1204" t="e">
        <f t="shared" si="0"/>
        <v>#REF!</v>
      </c>
    </row>
    <row r="80" spans="1:9">
      <c r="A80" s="1527">
        <v>213</v>
      </c>
      <c r="B80" s="1542" t="s">
        <v>293</v>
      </c>
      <c r="I80" s="1204" t="e">
        <f t="shared" si="0"/>
        <v>#REF!</v>
      </c>
    </row>
    <row r="81" spans="1:9">
      <c r="A81" s="1527">
        <v>2813</v>
      </c>
      <c r="B81" s="1542" t="s">
        <v>294</v>
      </c>
      <c r="I81" s="1204" t="e">
        <f t="shared" si="0"/>
        <v>#REF!</v>
      </c>
    </row>
    <row r="82" spans="1:9">
      <c r="A82" s="1527">
        <v>215</v>
      </c>
      <c r="B82" s="1542" t="s">
        <v>250</v>
      </c>
      <c r="I82" s="1204" t="e">
        <f t="shared" si="0"/>
        <v>#REF!</v>
      </c>
    </row>
    <row r="83" spans="1:9">
      <c r="A83" s="1527">
        <v>2815</v>
      </c>
      <c r="B83" s="1542" t="s">
        <v>295</v>
      </c>
      <c r="I83" s="1204" t="e">
        <f t="shared" si="0"/>
        <v>#REF!</v>
      </c>
    </row>
    <row r="84" spans="1:9">
      <c r="A84" s="1527">
        <v>216</v>
      </c>
      <c r="B84" s="1542" t="s">
        <v>159</v>
      </c>
      <c r="I84" s="1204" t="e">
        <f t="shared" si="0"/>
        <v>#REF!</v>
      </c>
    </row>
    <row r="85" spans="1:9">
      <c r="A85" s="1527">
        <v>2816</v>
      </c>
      <c r="B85" s="1542" t="s">
        <v>296</v>
      </c>
      <c r="I85" s="1204" t="e">
        <f t="shared" si="0"/>
        <v>#REF!</v>
      </c>
    </row>
    <row r="86" spans="1:9">
      <c r="A86" s="1527">
        <v>217</v>
      </c>
      <c r="B86" s="1542" t="s">
        <v>297</v>
      </c>
      <c r="I86" s="1204" t="e">
        <f t="shared" si="0"/>
        <v>#REF!</v>
      </c>
    </row>
    <row r="87" spans="1:9">
      <c r="A87" s="1527">
        <v>2817</v>
      </c>
      <c r="B87" s="1542" t="s">
        <v>298</v>
      </c>
      <c r="I87" s="1204" t="e">
        <f t="shared" si="0"/>
        <v>#REF!</v>
      </c>
    </row>
    <row r="88" spans="1:9">
      <c r="A88" s="1527">
        <v>218</v>
      </c>
      <c r="B88" s="1542" t="s">
        <v>299</v>
      </c>
      <c r="I88" s="1204" t="e">
        <f t="shared" si="0"/>
        <v>#REF!</v>
      </c>
    </row>
    <row r="89" spans="1:9">
      <c r="A89" s="1527">
        <v>2818</v>
      </c>
      <c r="B89" s="1542" t="s">
        <v>300</v>
      </c>
      <c r="I89" s="1204" t="e">
        <f t="shared" si="0"/>
        <v>#REF!</v>
      </c>
    </row>
    <row r="90" spans="1:9">
      <c r="A90" s="1531">
        <v>221</v>
      </c>
      <c r="B90" s="1541" t="s">
        <v>301</v>
      </c>
      <c r="I90" s="1204" t="e">
        <f t="shared" si="0"/>
        <v>#REF!</v>
      </c>
    </row>
    <row r="91" spans="1:9">
      <c r="A91" s="1527">
        <v>231</v>
      </c>
      <c r="B91" s="1542" t="s">
        <v>302</v>
      </c>
      <c r="I91" s="1204" t="e">
        <f t="shared" si="0"/>
        <v>#REF!</v>
      </c>
    </row>
    <row r="92" spans="1:9">
      <c r="A92" s="1527">
        <v>2831</v>
      </c>
      <c r="B92" s="1542" t="s">
        <v>303</v>
      </c>
      <c r="I92" s="1204" t="e">
        <f t="shared" si="0"/>
        <v>#REF!</v>
      </c>
    </row>
    <row r="93" spans="1:9">
      <c r="A93" s="1527">
        <v>232</v>
      </c>
      <c r="B93" s="1542" t="s">
        <v>304</v>
      </c>
      <c r="I93" s="1204" t="e">
        <f t="shared" ref="I93:I157" si="1">I92+1</f>
        <v>#REF!</v>
      </c>
    </row>
    <row r="94" spans="1:9">
      <c r="A94" s="1527">
        <v>2832</v>
      </c>
      <c r="B94" s="1542" t="s">
        <v>305</v>
      </c>
      <c r="I94" s="1204" t="e">
        <f t="shared" si="1"/>
        <v>#REF!</v>
      </c>
    </row>
    <row r="95" spans="1:9">
      <c r="A95" s="1527">
        <v>233</v>
      </c>
      <c r="B95" s="1542" t="s">
        <v>306</v>
      </c>
      <c r="I95" s="1204" t="e">
        <f t="shared" si="1"/>
        <v>#REF!</v>
      </c>
    </row>
    <row r="96" spans="1:9">
      <c r="A96" s="1527">
        <v>2833</v>
      </c>
      <c r="B96" s="1542" t="s">
        <v>307</v>
      </c>
      <c r="I96" s="1204" t="e">
        <f t="shared" si="1"/>
        <v>#REF!</v>
      </c>
    </row>
    <row r="97" spans="1:9">
      <c r="A97" s="1527">
        <v>234</v>
      </c>
      <c r="B97" s="1542" t="s">
        <v>308</v>
      </c>
      <c r="I97" s="1204" t="e">
        <f t="shared" si="1"/>
        <v>#REF!</v>
      </c>
    </row>
    <row r="98" spans="1:9">
      <c r="A98" s="1527">
        <v>2834</v>
      </c>
      <c r="B98" s="1542" t="s">
        <v>1643</v>
      </c>
      <c r="I98" s="1204" t="e">
        <f t="shared" si="1"/>
        <v>#REF!</v>
      </c>
    </row>
    <row r="99" spans="1:9">
      <c r="A99" s="1527">
        <v>235</v>
      </c>
      <c r="B99" s="1542" t="s">
        <v>309</v>
      </c>
      <c r="I99" s="1204" t="e">
        <f t="shared" si="1"/>
        <v>#REF!</v>
      </c>
    </row>
    <row r="100" spans="1:9">
      <c r="A100" s="1527">
        <v>2835</v>
      </c>
      <c r="B100" s="1542" t="s">
        <v>310</v>
      </c>
      <c r="I100" s="1204" t="e">
        <f t="shared" si="1"/>
        <v>#REF!</v>
      </c>
    </row>
    <row r="101" spans="1:9">
      <c r="A101" s="1527">
        <v>241</v>
      </c>
      <c r="B101" s="1542" t="s">
        <v>311</v>
      </c>
      <c r="I101" s="1204" t="e">
        <f t="shared" si="1"/>
        <v>#REF!</v>
      </c>
    </row>
    <row r="102" spans="1:9">
      <c r="A102" s="1527">
        <v>2841</v>
      </c>
      <c r="B102" s="1542" t="s">
        <v>1644</v>
      </c>
      <c r="I102" s="1204" t="e">
        <f t="shared" si="1"/>
        <v>#REF!</v>
      </c>
    </row>
    <row r="103" spans="1:9">
      <c r="A103" s="1527">
        <v>242</v>
      </c>
      <c r="B103" s="1542" t="s">
        <v>313</v>
      </c>
      <c r="I103" s="1204" t="e">
        <f t="shared" si="1"/>
        <v>#REF!</v>
      </c>
    </row>
    <row r="104" spans="1:9">
      <c r="A104" s="1527">
        <v>2842</v>
      </c>
      <c r="B104" s="1542" t="s">
        <v>1645</v>
      </c>
      <c r="I104" s="1204" t="e">
        <f t="shared" si="1"/>
        <v>#REF!</v>
      </c>
    </row>
    <row r="105" spans="1:9">
      <c r="A105" s="1527">
        <v>243</v>
      </c>
      <c r="B105" s="1542" t="s">
        <v>1400</v>
      </c>
      <c r="I105" s="1204" t="e">
        <f t="shared" si="1"/>
        <v>#REF!</v>
      </c>
    </row>
    <row r="106" spans="1:9">
      <c r="A106" s="1527">
        <v>2843</v>
      </c>
      <c r="B106" s="1542" t="s">
        <v>1646</v>
      </c>
      <c r="I106" s="1204" t="e">
        <f t="shared" si="1"/>
        <v>#REF!</v>
      </c>
    </row>
    <row r="107" spans="1:9">
      <c r="A107" s="1527">
        <v>244</v>
      </c>
      <c r="B107" s="1542" t="s">
        <v>1401</v>
      </c>
      <c r="I107" s="1204" t="e">
        <f t="shared" si="1"/>
        <v>#REF!</v>
      </c>
    </row>
    <row r="108" spans="1:9">
      <c r="A108" s="1527">
        <v>2844</v>
      </c>
      <c r="B108" s="1542" t="s">
        <v>1402</v>
      </c>
      <c r="I108" s="1204" t="e">
        <f t="shared" si="1"/>
        <v>#REF!</v>
      </c>
    </row>
    <row r="109" spans="1:9">
      <c r="A109" s="1527">
        <v>245</v>
      </c>
      <c r="B109" s="1542" t="s">
        <v>160</v>
      </c>
      <c r="I109" s="1204" t="e">
        <f t="shared" si="1"/>
        <v>#REF!</v>
      </c>
    </row>
    <row r="110" spans="1:9">
      <c r="A110" s="1527">
        <v>2845</v>
      </c>
      <c r="B110" s="1542" t="s">
        <v>883</v>
      </c>
      <c r="I110" s="1204" t="e">
        <f t="shared" si="1"/>
        <v>#REF!</v>
      </c>
    </row>
    <row r="111" spans="1:9">
      <c r="A111" s="1527">
        <v>246</v>
      </c>
      <c r="B111" s="1542" t="s">
        <v>317</v>
      </c>
      <c r="I111" s="1204" t="e">
        <f t="shared" si="1"/>
        <v>#REF!</v>
      </c>
    </row>
    <row r="112" spans="1:9">
      <c r="A112" s="1527">
        <v>2846</v>
      </c>
      <c r="B112" s="1542" t="s">
        <v>1647</v>
      </c>
      <c r="I112" s="1204" t="e">
        <f t="shared" si="1"/>
        <v>#REF!</v>
      </c>
    </row>
    <row r="113" spans="1:9">
      <c r="A113" s="1527">
        <v>249</v>
      </c>
      <c r="B113" s="1542" t="s">
        <v>1648</v>
      </c>
      <c r="I113" s="1204" t="e">
        <f t="shared" si="1"/>
        <v>#REF!</v>
      </c>
    </row>
    <row r="114" spans="1:9">
      <c r="A114" s="1527">
        <v>2849</v>
      </c>
      <c r="B114" s="1542" t="s">
        <v>319</v>
      </c>
      <c r="I114" s="1204" t="e">
        <f t="shared" si="1"/>
        <v>#REF!</v>
      </c>
    </row>
    <row r="115" spans="1:9">
      <c r="A115" s="1527">
        <v>250</v>
      </c>
      <c r="B115" s="1542" t="s">
        <v>320</v>
      </c>
      <c r="I115" s="1204" t="e">
        <f t="shared" si="1"/>
        <v>#REF!</v>
      </c>
    </row>
    <row r="116" spans="1:9">
      <c r="A116" s="1531">
        <v>260</v>
      </c>
      <c r="B116" s="1545" t="s">
        <v>161</v>
      </c>
      <c r="I116" s="1204" t="e">
        <f t="shared" si="1"/>
        <v>#REF!</v>
      </c>
    </row>
    <row r="117" spans="1:9">
      <c r="A117" s="1531">
        <v>266</v>
      </c>
      <c r="B117" s="1545" t="s">
        <v>162</v>
      </c>
      <c r="I117" s="1204" t="e">
        <f t="shared" si="1"/>
        <v>#REF!</v>
      </c>
    </row>
    <row r="118" spans="1:9">
      <c r="A118" s="1531">
        <v>271</v>
      </c>
      <c r="B118" s="1543" t="s">
        <v>163</v>
      </c>
      <c r="I118" s="1204" t="e">
        <f t="shared" si="1"/>
        <v>#REF!</v>
      </c>
    </row>
    <row r="119" spans="1:9">
      <c r="A119" s="1531">
        <v>272</v>
      </c>
      <c r="B119" s="1543" t="s">
        <v>164</v>
      </c>
      <c r="I119" s="1204" t="e">
        <f t="shared" si="1"/>
        <v>#REF!</v>
      </c>
    </row>
    <row r="120" spans="1:9">
      <c r="A120" s="1531">
        <v>274</v>
      </c>
      <c r="B120" s="1545" t="s">
        <v>165</v>
      </c>
      <c r="I120" s="1204" t="e">
        <f t="shared" si="1"/>
        <v>#REF!</v>
      </c>
    </row>
    <row r="121" spans="1:9">
      <c r="A121" s="1531">
        <v>275</v>
      </c>
      <c r="B121" s="1545" t="s">
        <v>321</v>
      </c>
      <c r="I121" s="1204" t="e">
        <f t="shared" si="1"/>
        <v>#REF!</v>
      </c>
    </row>
    <row r="122" spans="1:9">
      <c r="A122" s="1531">
        <v>279</v>
      </c>
      <c r="B122" s="1545" t="s">
        <v>322</v>
      </c>
      <c r="I122" s="1204" t="e">
        <f t="shared" si="1"/>
        <v>#REF!</v>
      </c>
    </row>
    <row r="123" spans="1:9">
      <c r="A123" s="1527">
        <v>310</v>
      </c>
      <c r="B123" s="1542" t="s">
        <v>1159</v>
      </c>
      <c r="I123" s="1204" t="e">
        <f t="shared" si="1"/>
        <v>#REF!</v>
      </c>
    </row>
    <row r="124" spans="1:9">
      <c r="A124" s="1527">
        <v>320</v>
      </c>
      <c r="B124" s="1542" t="s">
        <v>324</v>
      </c>
      <c r="I124" s="1204" t="e">
        <f t="shared" si="1"/>
        <v>#REF!</v>
      </c>
    </row>
    <row r="125" spans="1:9">
      <c r="A125" s="1527">
        <v>330</v>
      </c>
      <c r="B125" s="1542" t="s">
        <v>902</v>
      </c>
      <c r="I125" s="1204" t="e">
        <f t="shared" si="1"/>
        <v>#REF!</v>
      </c>
    </row>
    <row r="126" spans="1:9">
      <c r="A126" s="1527">
        <v>340</v>
      </c>
      <c r="B126" s="1542" t="s">
        <v>909</v>
      </c>
      <c r="I126" s="1204" t="e">
        <f t="shared" si="1"/>
        <v>#REF!</v>
      </c>
    </row>
    <row r="127" spans="1:9">
      <c r="A127" s="1530">
        <v>361</v>
      </c>
      <c r="B127" s="1542" t="s">
        <v>1160</v>
      </c>
      <c r="I127" s="1204" t="e">
        <f t="shared" si="1"/>
        <v>#REF!</v>
      </c>
    </row>
    <row r="128" spans="1:9">
      <c r="A128" s="1527">
        <v>370</v>
      </c>
      <c r="B128" s="1542" t="s">
        <v>325</v>
      </c>
      <c r="I128" s="1204" t="e">
        <f t="shared" si="1"/>
        <v>#REF!</v>
      </c>
    </row>
    <row r="129" spans="1:9">
      <c r="A129" s="1527">
        <v>411</v>
      </c>
      <c r="B129" s="1542" t="s">
        <v>326</v>
      </c>
      <c r="I129" s="1204" t="e">
        <f t="shared" si="1"/>
        <v>#REF!</v>
      </c>
    </row>
    <row r="130" spans="1:9">
      <c r="A130" s="1527">
        <v>4115</v>
      </c>
      <c r="B130" s="1542" t="s">
        <v>327</v>
      </c>
      <c r="I130" s="1204" t="e">
        <f t="shared" si="1"/>
        <v>#REF!</v>
      </c>
    </row>
    <row r="131" spans="1:9">
      <c r="A131" s="1527">
        <v>412</v>
      </c>
      <c r="B131" s="1542" t="s">
        <v>328</v>
      </c>
      <c r="I131" s="1204" t="e">
        <f t="shared" si="1"/>
        <v>#REF!</v>
      </c>
    </row>
    <row r="132" spans="1:9">
      <c r="A132" s="1527">
        <v>414</v>
      </c>
      <c r="B132" s="1542" t="s">
        <v>329</v>
      </c>
      <c r="I132" s="1204" t="e">
        <f t="shared" si="1"/>
        <v>#REF!</v>
      </c>
    </row>
    <row r="133" spans="1:9">
      <c r="A133" s="1527">
        <v>415</v>
      </c>
      <c r="B133" s="1542" t="s">
        <v>330</v>
      </c>
      <c r="I133" s="1204" t="e">
        <f t="shared" si="1"/>
        <v>#REF!</v>
      </c>
    </row>
    <row r="134" spans="1:9">
      <c r="A134" s="1527">
        <v>416</v>
      </c>
      <c r="B134" s="1542" t="s">
        <v>331</v>
      </c>
      <c r="I134" s="1204" t="e">
        <f t="shared" si="1"/>
        <v>#REF!</v>
      </c>
    </row>
    <row r="135" spans="1:9">
      <c r="A135" s="1527">
        <v>418</v>
      </c>
      <c r="B135" s="1543" t="s">
        <v>166</v>
      </c>
      <c r="I135" s="1204" t="e">
        <f t="shared" si="1"/>
        <v>#REF!</v>
      </c>
    </row>
    <row r="136" spans="1:9">
      <c r="A136" s="1527">
        <v>419</v>
      </c>
      <c r="B136" s="1543" t="s">
        <v>1649</v>
      </c>
      <c r="I136" s="1204" t="e">
        <f t="shared" si="1"/>
        <v>#REF!</v>
      </c>
    </row>
    <row r="137" spans="1:9">
      <c r="A137" s="1532">
        <v>4194</v>
      </c>
      <c r="B137" s="1541" t="s">
        <v>332</v>
      </c>
      <c r="I137" s="1204" t="e">
        <f t="shared" si="1"/>
        <v>#REF!</v>
      </c>
    </row>
    <row r="138" spans="1:9">
      <c r="A138" s="1526">
        <v>421</v>
      </c>
      <c r="B138" s="1541" t="s">
        <v>333</v>
      </c>
      <c r="I138" s="1204" t="e">
        <f t="shared" si="1"/>
        <v>#REF!</v>
      </c>
    </row>
    <row r="139" spans="1:9">
      <c r="A139" s="1526">
        <v>422</v>
      </c>
      <c r="B139" s="1541" t="s">
        <v>334</v>
      </c>
      <c r="C139" s="505"/>
      <c r="I139" s="1204" t="e">
        <f t="shared" si="1"/>
        <v>#REF!</v>
      </c>
    </row>
    <row r="140" spans="1:9">
      <c r="A140" s="1526">
        <v>4611</v>
      </c>
      <c r="B140" s="1541" t="s">
        <v>335</v>
      </c>
      <c r="C140" s="505"/>
      <c r="I140" s="1204" t="e">
        <f t="shared" si="1"/>
        <v>#REF!</v>
      </c>
    </row>
    <row r="141" spans="1:9">
      <c r="A141" s="1526">
        <v>4612</v>
      </c>
      <c r="B141" s="1541" t="s">
        <v>336</v>
      </c>
      <c r="C141" s="505"/>
      <c r="I141" s="1204" t="e">
        <f t="shared" si="1"/>
        <v>#REF!</v>
      </c>
    </row>
    <row r="142" spans="1:9">
      <c r="A142" s="1526">
        <v>4613</v>
      </c>
      <c r="B142" s="1541" t="s">
        <v>337</v>
      </c>
      <c r="C142" s="505"/>
      <c r="I142" s="1204" t="e">
        <f t="shared" si="1"/>
        <v>#REF!</v>
      </c>
    </row>
    <row r="143" spans="1:9">
      <c r="A143" s="1526">
        <v>4615</v>
      </c>
      <c r="B143" s="1541" t="s">
        <v>338</v>
      </c>
      <c r="C143" s="505"/>
      <c r="I143" s="1204" t="e">
        <f t="shared" si="1"/>
        <v>#REF!</v>
      </c>
    </row>
    <row r="144" spans="1:9">
      <c r="A144" s="1526">
        <v>4618</v>
      </c>
      <c r="B144" s="1541" t="s">
        <v>339</v>
      </c>
      <c r="C144" s="505"/>
      <c r="I144" s="1204" t="e">
        <f t="shared" si="1"/>
        <v>#REF!</v>
      </c>
    </row>
    <row r="145" spans="1:9">
      <c r="A145" s="1526">
        <v>4620</v>
      </c>
      <c r="B145" s="1541" t="s">
        <v>340</v>
      </c>
      <c r="C145" s="505"/>
      <c r="I145" s="1204" t="e">
        <f t="shared" si="1"/>
        <v>#REF!</v>
      </c>
    </row>
    <row r="146" spans="1:9">
      <c r="A146" s="1537" t="s">
        <v>1602</v>
      </c>
      <c r="B146" s="1547" t="s">
        <v>1603</v>
      </c>
      <c r="C146" s="505"/>
      <c r="I146" s="1204"/>
    </row>
    <row r="147" spans="1:9">
      <c r="A147" s="1531">
        <v>501</v>
      </c>
      <c r="B147" s="1543" t="s">
        <v>341</v>
      </c>
      <c r="I147" s="1204" t="e">
        <f>I145+1</f>
        <v>#REF!</v>
      </c>
    </row>
    <row r="148" spans="1:9">
      <c r="A148" s="1531">
        <v>502</v>
      </c>
      <c r="B148" s="1543" t="s">
        <v>342</v>
      </c>
      <c r="I148" s="1204" t="e">
        <f t="shared" si="1"/>
        <v>#REF!</v>
      </c>
    </row>
    <row r="149" spans="1:9">
      <c r="A149" s="1531">
        <v>506</v>
      </c>
      <c r="B149" s="1543" t="s">
        <v>343</v>
      </c>
      <c r="I149" s="1204" t="e">
        <f t="shared" si="1"/>
        <v>#REF!</v>
      </c>
    </row>
    <row r="150" spans="1:9">
      <c r="A150" s="1531">
        <v>507</v>
      </c>
      <c r="B150" s="1543" t="s">
        <v>168</v>
      </c>
      <c r="I150" s="1204" t="e">
        <f t="shared" si="1"/>
        <v>#REF!</v>
      </c>
    </row>
    <row r="151" spans="1:9">
      <c r="A151" s="1531">
        <v>508</v>
      </c>
      <c r="B151" s="1543" t="s">
        <v>169</v>
      </c>
      <c r="I151" s="1204" t="e">
        <f t="shared" si="1"/>
        <v>#REF!</v>
      </c>
    </row>
    <row r="152" spans="1:9">
      <c r="A152" s="1527">
        <v>520</v>
      </c>
      <c r="B152" s="1543" t="s">
        <v>170</v>
      </c>
      <c r="I152" s="1204" t="e">
        <f t="shared" si="1"/>
        <v>#REF!</v>
      </c>
    </row>
    <row r="153" spans="1:9">
      <c r="A153" s="1527">
        <v>524</v>
      </c>
      <c r="B153" s="1542" t="s">
        <v>344</v>
      </c>
      <c r="I153" s="1204" t="e">
        <f t="shared" si="1"/>
        <v>#REF!</v>
      </c>
    </row>
    <row r="154" spans="1:9">
      <c r="A154" s="1527">
        <v>545</v>
      </c>
      <c r="B154" s="1542" t="s">
        <v>345</v>
      </c>
      <c r="I154" s="1204" t="e">
        <f t="shared" si="1"/>
        <v>#REF!</v>
      </c>
    </row>
    <row r="155" spans="1:9">
      <c r="A155" s="1532">
        <v>531</v>
      </c>
      <c r="B155" s="1541" t="s">
        <v>346</v>
      </c>
      <c r="I155" s="1204" t="e">
        <f t="shared" si="1"/>
        <v>#REF!</v>
      </c>
    </row>
    <row r="156" spans="1:9">
      <c r="A156" s="1527">
        <v>570</v>
      </c>
      <c r="B156" s="1543" t="s">
        <v>347</v>
      </c>
      <c r="I156" s="1204" t="e">
        <f t="shared" si="1"/>
        <v>#REF!</v>
      </c>
    </row>
    <row r="157" spans="1:9">
      <c r="A157" s="1527">
        <v>476</v>
      </c>
      <c r="B157" s="1542" t="s">
        <v>1531</v>
      </c>
      <c r="I157" s="1204" t="e">
        <f t="shared" si="1"/>
        <v>#REF!</v>
      </c>
    </row>
    <row r="158" spans="1:9">
      <c r="A158" s="1530">
        <v>202</v>
      </c>
      <c r="B158" s="1542" t="s">
        <v>1650</v>
      </c>
      <c r="I158" s="1204" t="e">
        <f t="shared" ref="I158:I221" si="2">I157+1</f>
        <v>#REF!</v>
      </c>
    </row>
    <row r="159" spans="1:9">
      <c r="A159" s="1530">
        <v>478</v>
      </c>
      <c r="B159" s="1542" t="s">
        <v>1596</v>
      </c>
      <c r="I159" s="1204" t="e">
        <f t="shared" si="2"/>
        <v>#REF!</v>
      </c>
    </row>
    <row r="160" spans="1:9">
      <c r="A160" s="1559">
        <v>7072</v>
      </c>
      <c r="B160" s="1542" t="s">
        <v>1651</v>
      </c>
      <c r="I160" s="1204" t="e">
        <f t="shared" si="2"/>
        <v>#REF!</v>
      </c>
    </row>
    <row r="161" spans="1:9">
      <c r="A161" s="1527">
        <v>601</v>
      </c>
      <c r="B161" s="1542" t="s">
        <v>348</v>
      </c>
      <c r="I161" s="1204" t="e">
        <f t="shared" si="2"/>
        <v>#REF!</v>
      </c>
    </row>
    <row r="162" spans="1:9">
      <c r="A162" s="1527">
        <v>602</v>
      </c>
      <c r="B162" s="1542" t="s">
        <v>349</v>
      </c>
      <c r="I162" s="1204" t="e">
        <f t="shared" si="2"/>
        <v>#REF!</v>
      </c>
    </row>
    <row r="163" spans="1:9">
      <c r="A163" s="1527">
        <v>603</v>
      </c>
      <c r="B163" s="1542" t="s">
        <v>1652</v>
      </c>
      <c r="I163" s="1204" t="e">
        <f t="shared" si="2"/>
        <v>#REF!</v>
      </c>
    </row>
    <row r="164" spans="1:9">
      <c r="A164" s="1527">
        <v>6010</v>
      </c>
      <c r="B164" s="1542" t="s">
        <v>350</v>
      </c>
      <c r="I164" s="1204" t="e">
        <f t="shared" si="2"/>
        <v>#REF!</v>
      </c>
    </row>
    <row r="165" spans="1:9">
      <c r="A165" s="1527">
        <v>6011</v>
      </c>
      <c r="B165" s="1542" t="s">
        <v>351</v>
      </c>
      <c r="I165" s="1204" t="e">
        <f t="shared" si="2"/>
        <v>#REF!</v>
      </c>
    </row>
    <row r="166" spans="1:9">
      <c r="A166" s="1527">
        <v>6012</v>
      </c>
      <c r="B166" s="1542" t="s">
        <v>352</v>
      </c>
      <c r="I166" s="1204" t="e">
        <f t="shared" si="2"/>
        <v>#REF!</v>
      </c>
    </row>
    <row r="167" spans="1:9">
      <c r="A167" s="1527">
        <v>6020</v>
      </c>
      <c r="B167" s="1542" t="s">
        <v>353</v>
      </c>
      <c r="I167" s="1204" t="e">
        <f t="shared" si="2"/>
        <v>#REF!</v>
      </c>
    </row>
    <row r="168" spans="1:9">
      <c r="A168" s="1527">
        <v>6021</v>
      </c>
      <c r="B168" s="1542" t="s">
        <v>354</v>
      </c>
      <c r="I168" s="1204" t="e">
        <f t="shared" si="2"/>
        <v>#REF!</v>
      </c>
    </row>
    <row r="169" spans="1:9">
      <c r="A169" s="1527">
        <v>6022</v>
      </c>
      <c r="B169" s="1542" t="s">
        <v>355</v>
      </c>
      <c r="I169" s="1204" t="e">
        <f t="shared" si="2"/>
        <v>#REF!</v>
      </c>
    </row>
    <row r="170" spans="1:9">
      <c r="A170" s="1527">
        <v>6013</v>
      </c>
      <c r="B170" s="1542" t="s">
        <v>820</v>
      </c>
      <c r="I170" s="1204" t="e">
        <f t="shared" si="2"/>
        <v>#REF!</v>
      </c>
    </row>
    <row r="171" spans="1:9">
      <c r="A171" s="1527">
        <v>6014</v>
      </c>
      <c r="B171" s="1542" t="s">
        <v>821</v>
      </c>
      <c r="I171" s="1204" t="e">
        <f t="shared" si="2"/>
        <v>#REF!</v>
      </c>
    </row>
    <row r="172" spans="1:9">
      <c r="A172" s="1527">
        <v>6015</v>
      </c>
      <c r="B172" s="1542" t="s">
        <v>822</v>
      </c>
      <c r="I172" s="1204" t="e">
        <f t="shared" si="2"/>
        <v>#REF!</v>
      </c>
    </row>
    <row r="173" spans="1:9">
      <c r="A173" s="1527">
        <v>6180</v>
      </c>
      <c r="B173" s="1542" t="s">
        <v>357</v>
      </c>
      <c r="I173" s="1204" t="e">
        <f t="shared" si="2"/>
        <v>#REF!</v>
      </c>
    </row>
    <row r="174" spans="1:9">
      <c r="A174" s="1527">
        <v>6730</v>
      </c>
      <c r="B174" s="1542" t="s">
        <v>358</v>
      </c>
      <c r="I174" s="1204" t="e">
        <f t="shared" si="2"/>
        <v>#REF!</v>
      </c>
    </row>
    <row r="175" spans="1:9">
      <c r="A175" s="1527">
        <v>6731</v>
      </c>
      <c r="B175" s="1542" t="s">
        <v>359</v>
      </c>
      <c r="I175" s="1204" t="e">
        <f t="shared" si="2"/>
        <v>#REF!</v>
      </c>
    </row>
    <row r="176" spans="1:9">
      <c r="A176" s="1527">
        <v>6732</v>
      </c>
      <c r="B176" s="1542" t="s">
        <v>360</v>
      </c>
      <c r="I176" s="1204" t="e">
        <f t="shared" si="2"/>
        <v>#REF!</v>
      </c>
    </row>
    <row r="177" spans="1:9">
      <c r="A177" s="1527">
        <v>6031</v>
      </c>
      <c r="B177" s="1542" t="s">
        <v>1163</v>
      </c>
      <c r="I177" s="1204" t="e">
        <f t="shared" si="2"/>
        <v>#REF!</v>
      </c>
    </row>
    <row r="178" spans="1:9">
      <c r="A178" s="1527">
        <v>6032</v>
      </c>
      <c r="B178" s="1542" t="s">
        <v>894</v>
      </c>
      <c r="I178" s="1204" t="e">
        <f t="shared" si="2"/>
        <v>#REF!</v>
      </c>
    </row>
    <row r="179" spans="1:9">
      <c r="A179" s="1527">
        <v>6033</v>
      </c>
      <c r="B179" s="1542" t="s">
        <v>895</v>
      </c>
      <c r="I179" s="1204" t="e">
        <f t="shared" si="2"/>
        <v>#REF!</v>
      </c>
    </row>
    <row r="180" spans="1:9">
      <c r="A180" s="1527">
        <v>6034</v>
      </c>
      <c r="B180" s="1542" t="s">
        <v>905</v>
      </c>
      <c r="I180" s="1204" t="e">
        <f t="shared" si="2"/>
        <v>#REF!</v>
      </c>
    </row>
    <row r="181" spans="1:9">
      <c r="A181" s="1527">
        <v>6035</v>
      </c>
      <c r="B181" s="1542" t="s">
        <v>911</v>
      </c>
      <c r="I181" s="1204" t="e">
        <f t="shared" si="2"/>
        <v>#REF!</v>
      </c>
    </row>
    <row r="182" spans="1:9">
      <c r="A182" s="1530">
        <v>7360</v>
      </c>
      <c r="B182" s="1542" t="s">
        <v>1164</v>
      </c>
      <c r="I182" s="1204" t="e">
        <f t="shared" si="2"/>
        <v>#REF!</v>
      </c>
    </row>
    <row r="183" spans="1:9">
      <c r="A183" s="1526">
        <v>6051</v>
      </c>
      <c r="B183" s="1541" t="s">
        <v>361</v>
      </c>
      <c r="I183" s="1204" t="e">
        <f t="shared" si="2"/>
        <v>#REF!</v>
      </c>
    </row>
    <row r="184" spans="1:9">
      <c r="A184" s="1526">
        <v>6052</v>
      </c>
      <c r="B184" s="1541" t="s">
        <v>362</v>
      </c>
      <c r="I184" s="1204" t="e">
        <f t="shared" si="2"/>
        <v>#REF!</v>
      </c>
    </row>
    <row r="185" spans="1:9">
      <c r="A185" s="1526">
        <v>6053</v>
      </c>
      <c r="B185" s="1541" t="s">
        <v>363</v>
      </c>
      <c r="I185" s="1204" t="e">
        <f t="shared" si="2"/>
        <v>#REF!</v>
      </c>
    </row>
    <row r="186" spans="1:9">
      <c r="A186" s="1526">
        <v>6054</v>
      </c>
      <c r="B186" s="1541" t="s">
        <v>364</v>
      </c>
      <c r="I186" s="1204" t="e">
        <f t="shared" si="2"/>
        <v>#REF!</v>
      </c>
    </row>
    <row r="187" spans="1:9">
      <c r="A187" s="1526">
        <v>6055</v>
      </c>
      <c r="B187" s="1541" t="s">
        <v>365</v>
      </c>
      <c r="I187" s="1204" t="e">
        <f t="shared" si="2"/>
        <v>#REF!</v>
      </c>
    </row>
    <row r="188" spans="1:9">
      <c r="A188" s="1526">
        <v>6056</v>
      </c>
      <c r="B188" s="1541" t="s">
        <v>366</v>
      </c>
      <c r="I188" s="1204" t="e">
        <f t="shared" si="2"/>
        <v>#REF!</v>
      </c>
    </row>
    <row r="189" spans="1:9">
      <c r="A189" s="1526">
        <v>6057</v>
      </c>
      <c r="B189" s="1541" t="s">
        <v>367</v>
      </c>
      <c r="I189" s="1204" t="e">
        <f t="shared" si="2"/>
        <v>#REF!</v>
      </c>
    </row>
    <row r="190" spans="1:9">
      <c r="A190" s="1526">
        <v>6064</v>
      </c>
      <c r="B190" s="1541" t="s">
        <v>368</v>
      </c>
      <c r="I190" s="1204" t="e">
        <f t="shared" si="2"/>
        <v>#REF!</v>
      </c>
    </row>
    <row r="191" spans="1:9">
      <c r="A191" s="1526">
        <v>611</v>
      </c>
      <c r="B191" s="1543" t="s">
        <v>369</v>
      </c>
      <c r="I191" s="1204" t="e">
        <f t="shared" si="2"/>
        <v>#REF!</v>
      </c>
    </row>
    <row r="192" spans="1:9">
      <c r="A192" s="1526">
        <v>621</v>
      </c>
      <c r="B192" s="1541" t="s">
        <v>371</v>
      </c>
      <c r="I192" s="1204" t="e">
        <f t="shared" si="2"/>
        <v>#REF!</v>
      </c>
    </row>
    <row r="193" spans="1:9">
      <c r="A193" s="1526">
        <v>622</v>
      </c>
      <c r="B193" s="1541" t="s">
        <v>372</v>
      </c>
      <c r="I193" s="1204" t="e">
        <f t="shared" si="2"/>
        <v>#REF!</v>
      </c>
    </row>
    <row r="194" spans="1:9">
      <c r="A194" s="1526">
        <v>6221</v>
      </c>
      <c r="B194" s="1541" t="s">
        <v>373</v>
      </c>
      <c r="I194" s="1204" t="e">
        <f t="shared" si="2"/>
        <v>#REF!</v>
      </c>
    </row>
    <row r="195" spans="1:9">
      <c r="A195" s="1526">
        <v>6222</v>
      </c>
      <c r="B195" s="1541" t="s">
        <v>374</v>
      </c>
      <c r="I195" s="1204" t="e">
        <f t="shared" si="2"/>
        <v>#REF!</v>
      </c>
    </row>
    <row r="196" spans="1:9">
      <c r="A196" s="1526">
        <v>6223</v>
      </c>
      <c r="B196" s="1541" t="s">
        <v>375</v>
      </c>
      <c r="I196" s="1204" t="e">
        <f t="shared" si="2"/>
        <v>#REF!</v>
      </c>
    </row>
    <row r="197" spans="1:9">
      <c r="A197" s="1526">
        <v>6224</v>
      </c>
      <c r="B197" s="1541" t="s">
        <v>176</v>
      </c>
      <c r="I197" s="1204" t="e">
        <f t="shared" si="2"/>
        <v>#REF!</v>
      </c>
    </row>
    <row r="198" spans="1:9">
      <c r="A198" s="1526">
        <v>6232</v>
      </c>
      <c r="B198" s="1541" t="s">
        <v>1653</v>
      </c>
      <c r="I198" s="1204" t="e">
        <f t="shared" si="2"/>
        <v>#REF!</v>
      </c>
    </row>
    <row r="199" spans="1:9">
      <c r="A199" s="1526">
        <v>6243</v>
      </c>
      <c r="B199" s="1541" t="s">
        <v>1654</v>
      </c>
      <c r="I199" s="1204" t="e">
        <f t="shared" si="2"/>
        <v>#REF!</v>
      </c>
    </row>
    <row r="200" spans="1:9">
      <c r="A200" s="1526">
        <v>6251</v>
      </c>
      <c r="B200" s="1541" t="s">
        <v>378</v>
      </c>
      <c r="I200" s="1204" t="e">
        <f t="shared" si="2"/>
        <v>#REF!</v>
      </c>
    </row>
    <row r="201" spans="1:9">
      <c r="A201" s="1526">
        <v>6252</v>
      </c>
      <c r="B201" s="1541" t="s">
        <v>379</v>
      </c>
      <c r="I201" s="1204" t="e">
        <f t="shared" si="2"/>
        <v>#REF!</v>
      </c>
    </row>
    <row r="202" spans="1:9">
      <c r="A202" s="1526">
        <v>6253</v>
      </c>
      <c r="B202" s="1541" t="s">
        <v>380</v>
      </c>
      <c r="I202" s="1204" t="e">
        <f t="shared" si="2"/>
        <v>#REF!</v>
      </c>
    </row>
    <row r="203" spans="1:9">
      <c r="A203" s="1526">
        <v>6254</v>
      </c>
      <c r="B203" s="1541" t="s">
        <v>381</v>
      </c>
      <c r="I203" s="1204" t="e">
        <f t="shared" si="2"/>
        <v>#REF!</v>
      </c>
    </row>
    <row r="204" spans="1:9">
      <c r="A204" s="1526">
        <v>6255</v>
      </c>
      <c r="B204" s="1541" t="s">
        <v>382</v>
      </c>
      <c r="I204" s="1204" t="e">
        <f t="shared" si="2"/>
        <v>#REF!</v>
      </c>
    </row>
    <row r="205" spans="1:9">
      <c r="A205" s="1526">
        <v>6256</v>
      </c>
      <c r="B205" s="1541" t="s">
        <v>383</v>
      </c>
      <c r="I205" s="1204" t="e">
        <f t="shared" si="2"/>
        <v>#REF!</v>
      </c>
    </row>
    <row r="206" spans="1:9">
      <c r="A206" s="1526">
        <v>6257</v>
      </c>
      <c r="B206" s="1541" t="s">
        <v>384</v>
      </c>
      <c r="I206" s="1204" t="e">
        <f t="shared" si="2"/>
        <v>#REF!</v>
      </c>
    </row>
    <row r="207" spans="1:9">
      <c r="A207" s="1526">
        <v>6258</v>
      </c>
      <c r="B207" s="1541" t="s">
        <v>385</v>
      </c>
      <c r="I207" s="1204" t="e">
        <f t="shared" si="2"/>
        <v>#REF!</v>
      </c>
    </row>
    <row r="208" spans="1:9">
      <c r="A208" s="1526">
        <v>6260</v>
      </c>
      <c r="B208" s="1541" t="s">
        <v>386</v>
      </c>
      <c r="I208" s="1204" t="e">
        <f t="shared" si="2"/>
        <v>#REF!</v>
      </c>
    </row>
    <row r="209" spans="1:9">
      <c r="A209" s="1526">
        <v>6271</v>
      </c>
      <c r="B209" s="1541" t="s">
        <v>387</v>
      </c>
      <c r="I209" s="1204" t="e">
        <f t="shared" si="2"/>
        <v>#REF!</v>
      </c>
    </row>
    <row r="210" spans="1:9">
      <c r="A210" s="1526">
        <v>6272</v>
      </c>
      <c r="B210" s="1541" t="s">
        <v>388</v>
      </c>
      <c r="I210" s="1204" t="e">
        <f t="shared" si="2"/>
        <v>#REF!</v>
      </c>
    </row>
    <row r="211" spans="1:9">
      <c r="A211" s="1526">
        <v>6274</v>
      </c>
      <c r="B211" s="1541" t="s">
        <v>389</v>
      </c>
      <c r="I211" s="1204" t="e">
        <f t="shared" si="2"/>
        <v>#REF!</v>
      </c>
    </row>
    <row r="212" spans="1:9">
      <c r="A212" s="1526">
        <v>6275</v>
      </c>
      <c r="B212" s="1541" t="s">
        <v>390</v>
      </c>
      <c r="I212" s="1204" t="e">
        <f t="shared" si="2"/>
        <v>#REF!</v>
      </c>
    </row>
    <row r="213" spans="1:9">
      <c r="A213" s="1526">
        <v>6276</v>
      </c>
      <c r="B213" s="1541" t="s">
        <v>391</v>
      </c>
      <c r="I213" s="1204" t="e">
        <f t="shared" si="2"/>
        <v>#REF!</v>
      </c>
    </row>
    <row r="214" spans="1:9">
      <c r="A214" s="1526">
        <v>6277</v>
      </c>
      <c r="B214" s="1541" t="s">
        <v>392</v>
      </c>
      <c r="I214" s="1204" t="e">
        <f t="shared" si="2"/>
        <v>#REF!</v>
      </c>
    </row>
    <row r="215" spans="1:9">
      <c r="A215" s="1526">
        <v>6278</v>
      </c>
      <c r="B215" s="1541" t="s">
        <v>393</v>
      </c>
      <c r="I215" s="1204" t="e">
        <f t="shared" si="2"/>
        <v>#REF!</v>
      </c>
    </row>
    <row r="216" spans="1:9">
      <c r="A216" s="1526">
        <v>6281</v>
      </c>
      <c r="B216" s="1541" t="s">
        <v>394</v>
      </c>
      <c r="I216" s="1204" t="e">
        <f t="shared" si="2"/>
        <v>#REF!</v>
      </c>
    </row>
    <row r="217" spans="1:9">
      <c r="A217" s="1526">
        <v>6282</v>
      </c>
      <c r="B217" s="1541" t="s">
        <v>395</v>
      </c>
      <c r="I217" s="1204" t="e">
        <f t="shared" si="2"/>
        <v>#REF!</v>
      </c>
    </row>
    <row r="218" spans="1:9">
      <c r="A218" s="1526">
        <v>6283</v>
      </c>
      <c r="B218" s="1541" t="s">
        <v>396</v>
      </c>
      <c r="I218" s="1204" t="e">
        <f t="shared" si="2"/>
        <v>#REF!</v>
      </c>
    </row>
    <row r="219" spans="1:9">
      <c r="A219" s="1526">
        <v>6288</v>
      </c>
      <c r="B219" s="1541" t="s">
        <v>397</v>
      </c>
      <c r="I219" s="1204" t="e">
        <f t="shared" si="2"/>
        <v>#REF!</v>
      </c>
    </row>
    <row r="220" spans="1:9">
      <c r="A220" s="1526">
        <v>6324</v>
      </c>
      <c r="B220" s="1541" t="s">
        <v>398</v>
      </c>
      <c r="I220" s="1204" t="e">
        <f t="shared" si="2"/>
        <v>#REF!</v>
      </c>
    </row>
    <row r="221" spans="1:9">
      <c r="A221" s="1526">
        <v>6325</v>
      </c>
      <c r="B221" s="1541" t="s">
        <v>399</v>
      </c>
      <c r="I221" s="1204" t="e">
        <f t="shared" si="2"/>
        <v>#REF!</v>
      </c>
    </row>
    <row r="222" spans="1:9">
      <c r="A222" s="1526">
        <v>6328</v>
      </c>
      <c r="B222" s="1541" t="s">
        <v>400</v>
      </c>
      <c r="I222" s="1204" t="e">
        <f t="shared" ref="I222:I285" si="3">I221+1</f>
        <v>#REF!</v>
      </c>
    </row>
    <row r="223" spans="1:9">
      <c r="A223" s="1526">
        <v>6342</v>
      </c>
      <c r="B223" s="1541" t="s">
        <v>401</v>
      </c>
      <c r="I223" s="1204" t="e">
        <f t="shared" si="3"/>
        <v>#REF!</v>
      </c>
    </row>
    <row r="224" spans="1:9">
      <c r="A224" s="1526">
        <v>6350</v>
      </c>
      <c r="B224" s="1541" t="s">
        <v>402</v>
      </c>
      <c r="I224" s="1204" t="e">
        <f t="shared" si="3"/>
        <v>#REF!</v>
      </c>
    </row>
    <row r="225" spans="1:9">
      <c r="A225" s="1526">
        <v>6351</v>
      </c>
      <c r="B225" s="1541" t="s">
        <v>403</v>
      </c>
      <c r="I225" s="1204" t="e">
        <f t="shared" si="3"/>
        <v>#REF!</v>
      </c>
    </row>
    <row r="226" spans="1:9">
      <c r="A226" s="1526">
        <v>6611</v>
      </c>
      <c r="B226" s="1541" t="s">
        <v>404</v>
      </c>
      <c r="I226" s="1204" t="e">
        <f t="shared" si="3"/>
        <v>#REF!</v>
      </c>
    </row>
    <row r="227" spans="1:9">
      <c r="A227" s="1526">
        <v>6612</v>
      </c>
      <c r="B227" s="1541" t="s">
        <v>405</v>
      </c>
      <c r="I227" s="1204" t="e">
        <f t="shared" si="3"/>
        <v>#REF!</v>
      </c>
    </row>
    <row r="228" spans="1:9">
      <c r="A228" s="1526">
        <v>6613</v>
      </c>
      <c r="B228" s="1541" t="s">
        <v>406</v>
      </c>
      <c r="I228" s="1204" t="e">
        <f t="shared" si="3"/>
        <v>#REF!</v>
      </c>
    </row>
    <row r="229" spans="1:9">
      <c r="A229" s="1526">
        <v>6614</v>
      </c>
      <c r="B229" s="1541" t="s">
        <v>407</v>
      </c>
      <c r="I229" s="1204" t="e">
        <f t="shared" si="3"/>
        <v>#REF!</v>
      </c>
    </row>
    <row r="230" spans="1:9">
      <c r="A230" s="1526">
        <v>6615</v>
      </c>
      <c r="B230" s="1541" t="s">
        <v>408</v>
      </c>
      <c r="I230" s="1204" t="e">
        <f t="shared" si="3"/>
        <v>#REF!</v>
      </c>
    </row>
    <row r="231" spans="1:9">
      <c r="A231" s="1526">
        <v>6616</v>
      </c>
      <c r="B231" s="1541" t="s">
        <v>409</v>
      </c>
      <c r="I231" s="1204" t="e">
        <f t="shared" si="3"/>
        <v>#REF!</v>
      </c>
    </row>
    <row r="232" spans="1:9">
      <c r="A232" s="1526">
        <v>6617</v>
      </c>
      <c r="B232" s="1541" t="s">
        <v>410</v>
      </c>
      <c r="I232" s="1204" t="e">
        <f t="shared" si="3"/>
        <v>#REF!</v>
      </c>
    </row>
    <row r="233" spans="1:9">
      <c r="A233" s="1526">
        <v>6618</v>
      </c>
      <c r="B233" s="1541" t="s">
        <v>411</v>
      </c>
      <c r="I233" s="1204" t="e">
        <f t="shared" si="3"/>
        <v>#REF!</v>
      </c>
    </row>
    <row r="234" spans="1:9">
      <c r="A234" s="1527">
        <v>6640</v>
      </c>
      <c r="B234" s="1542" t="s">
        <v>219</v>
      </c>
      <c r="I234" s="1204" t="e">
        <f t="shared" si="3"/>
        <v>#REF!</v>
      </c>
    </row>
    <row r="235" spans="1:9">
      <c r="A235" s="1527">
        <v>6661</v>
      </c>
      <c r="B235" s="1542" t="s">
        <v>412</v>
      </c>
      <c r="I235" s="1204" t="e">
        <f t="shared" si="3"/>
        <v>#REF!</v>
      </c>
    </row>
    <row r="236" spans="1:9">
      <c r="A236" s="1527">
        <v>6662</v>
      </c>
      <c r="B236" s="1542" t="s">
        <v>219</v>
      </c>
      <c r="I236" s="1204" t="e">
        <f t="shared" si="3"/>
        <v>#REF!</v>
      </c>
    </row>
    <row r="237" spans="1:9">
      <c r="A237" s="1527">
        <v>6710</v>
      </c>
      <c r="B237" s="1542" t="s">
        <v>413</v>
      </c>
      <c r="I237" s="1204" t="e">
        <f t="shared" si="3"/>
        <v>#REF!</v>
      </c>
    </row>
    <row r="238" spans="1:9">
      <c r="A238" s="1527">
        <v>6740</v>
      </c>
      <c r="B238" s="1542" t="s">
        <v>414</v>
      </c>
      <c r="I238" s="1204" t="e">
        <f t="shared" si="3"/>
        <v>#REF!</v>
      </c>
    </row>
    <row r="239" spans="1:9">
      <c r="A239" s="1527">
        <v>6760</v>
      </c>
      <c r="B239" s="1542" t="s">
        <v>3</v>
      </c>
      <c r="I239" s="1204" t="e">
        <f t="shared" si="3"/>
        <v>#REF!</v>
      </c>
    </row>
    <row r="240" spans="1:9">
      <c r="A240" s="1527">
        <v>6770</v>
      </c>
      <c r="B240" s="1542" t="s">
        <v>415</v>
      </c>
      <c r="I240" s="1204" t="e">
        <f t="shared" si="3"/>
        <v>#REF!</v>
      </c>
    </row>
    <row r="241" spans="1:9">
      <c r="A241" s="1526">
        <v>6812</v>
      </c>
      <c r="B241" s="1541" t="s">
        <v>416</v>
      </c>
      <c r="I241" s="1204" t="e">
        <f t="shared" si="3"/>
        <v>#REF!</v>
      </c>
    </row>
    <row r="242" spans="1:9">
      <c r="A242" s="1526">
        <v>6813</v>
      </c>
      <c r="B242" s="1541" t="s">
        <v>417</v>
      </c>
      <c r="I242" s="1204" t="e">
        <f t="shared" si="3"/>
        <v>#REF!</v>
      </c>
    </row>
    <row r="243" spans="1:9">
      <c r="A243" s="1527">
        <v>6870</v>
      </c>
      <c r="B243" s="1542" t="s">
        <v>418</v>
      </c>
      <c r="I243" s="1204" t="e">
        <f t="shared" si="3"/>
        <v>#REF!</v>
      </c>
    </row>
    <row r="244" spans="1:9">
      <c r="A244" s="1527">
        <v>6970</v>
      </c>
      <c r="B244" s="1542" t="s">
        <v>419</v>
      </c>
      <c r="I244" s="1204" t="e">
        <f t="shared" si="3"/>
        <v>#REF!</v>
      </c>
    </row>
    <row r="245" spans="1:9">
      <c r="A245" s="1527">
        <v>830</v>
      </c>
      <c r="B245" s="1542" t="s">
        <v>420</v>
      </c>
      <c r="I245" s="1204" t="e">
        <f t="shared" si="3"/>
        <v>#REF!</v>
      </c>
    </row>
    <row r="246" spans="1:9">
      <c r="A246" s="1527">
        <v>831</v>
      </c>
      <c r="B246" s="1542" t="s">
        <v>1655</v>
      </c>
      <c r="I246" s="1204" t="e">
        <f t="shared" si="3"/>
        <v>#REF!</v>
      </c>
    </row>
    <row r="247" spans="1:9">
      <c r="A247" s="1527">
        <v>835</v>
      </c>
      <c r="B247" s="1542" t="s">
        <v>422</v>
      </c>
      <c r="I247" s="1204" t="e">
        <f t="shared" si="3"/>
        <v>#REF!</v>
      </c>
    </row>
    <row r="248" spans="1:9">
      <c r="A248" s="1527">
        <v>8393</v>
      </c>
      <c r="B248" s="1542" t="s">
        <v>423</v>
      </c>
      <c r="I248" s="1204" t="e">
        <f t="shared" si="3"/>
        <v>#REF!</v>
      </c>
    </row>
    <row r="249" spans="1:9">
      <c r="A249" s="1527">
        <v>8394</v>
      </c>
      <c r="B249" s="1542" t="s">
        <v>424</v>
      </c>
      <c r="I249" s="1204" t="e">
        <f t="shared" si="3"/>
        <v>#REF!</v>
      </c>
    </row>
    <row r="250" spans="1:9">
      <c r="A250" s="1527">
        <v>8395</v>
      </c>
      <c r="B250" s="1542" t="s">
        <v>425</v>
      </c>
      <c r="I250" s="1204" t="e">
        <f t="shared" si="3"/>
        <v>#REF!</v>
      </c>
    </row>
    <row r="251" spans="1:9">
      <c r="A251" s="1527">
        <v>811</v>
      </c>
      <c r="B251" s="1542" t="s">
        <v>426</v>
      </c>
      <c r="I251" s="1204" t="e">
        <f t="shared" si="3"/>
        <v>#REF!</v>
      </c>
    </row>
    <row r="252" spans="1:9">
      <c r="A252" s="1527">
        <v>812</v>
      </c>
      <c r="B252" s="1542" t="s">
        <v>427</v>
      </c>
      <c r="I252" s="1204" t="e">
        <f t="shared" si="3"/>
        <v>#REF!</v>
      </c>
    </row>
    <row r="253" spans="1:9">
      <c r="A253" s="1527">
        <v>813</v>
      </c>
      <c r="B253" s="1542" t="s">
        <v>428</v>
      </c>
      <c r="I253" s="1204" t="e">
        <f t="shared" si="3"/>
        <v>#REF!</v>
      </c>
    </row>
    <row r="254" spans="1:9">
      <c r="A254" s="1527">
        <v>851</v>
      </c>
      <c r="B254" s="1542" t="s">
        <v>429</v>
      </c>
      <c r="I254" s="1204" t="e">
        <f t="shared" si="3"/>
        <v>#REF!</v>
      </c>
    </row>
    <row r="255" spans="1:9">
      <c r="A255" s="1527">
        <v>852</v>
      </c>
      <c r="B255" s="1542" t="s">
        <v>430</v>
      </c>
      <c r="I255" s="1204" t="e">
        <f t="shared" si="3"/>
        <v>#REF!</v>
      </c>
    </row>
    <row r="256" spans="1:9">
      <c r="A256" s="1527">
        <v>853</v>
      </c>
      <c r="B256" s="1542" t="s">
        <v>431</v>
      </c>
      <c r="I256" s="1204" t="e">
        <f t="shared" si="3"/>
        <v>#REF!</v>
      </c>
    </row>
    <row r="257" spans="1:9">
      <c r="A257" s="1531">
        <v>7010</v>
      </c>
      <c r="B257" s="1541" t="s">
        <v>432</v>
      </c>
      <c r="I257" s="1204" t="e">
        <f t="shared" si="3"/>
        <v>#REF!</v>
      </c>
    </row>
    <row r="258" spans="1:9">
      <c r="A258" s="1531">
        <v>7011</v>
      </c>
      <c r="B258" s="1541" t="s">
        <v>433</v>
      </c>
      <c r="I258" s="1204" t="e">
        <f t="shared" si="3"/>
        <v>#REF!</v>
      </c>
    </row>
    <row r="259" spans="1:9">
      <c r="A259" s="1531">
        <v>7012</v>
      </c>
      <c r="B259" s="1541" t="s">
        <v>434</v>
      </c>
      <c r="I259" s="1204" t="e">
        <f t="shared" si="3"/>
        <v>#REF!</v>
      </c>
    </row>
    <row r="260" spans="1:9">
      <c r="A260" s="1531">
        <v>7031</v>
      </c>
      <c r="B260" s="1541" t="s">
        <v>435</v>
      </c>
      <c r="I260" s="1204" t="e">
        <f t="shared" si="3"/>
        <v>#REF!</v>
      </c>
    </row>
    <row r="261" spans="1:9">
      <c r="A261" s="1531">
        <v>7032</v>
      </c>
      <c r="B261" s="1541" t="s">
        <v>436</v>
      </c>
      <c r="I261" s="1204" t="e">
        <f t="shared" si="3"/>
        <v>#REF!</v>
      </c>
    </row>
    <row r="262" spans="1:9">
      <c r="A262" s="1531">
        <v>7033</v>
      </c>
      <c r="B262" s="1541" t="s">
        <v>437</v>
      </c>
      <c r="I262" s="1204" t="e">
        <f t="shared" si="3"/>
        <v>#REF!</v>
      </c>
    </row>
    <row r="263" spans="1:9">
      <c r="A263" s="1531">
        <v>7061</v>
      </c>
      <c r="B263" s="1541" t="s">
        <v>438</v>
      </c>
      <c r="I263" s="1204" t="e">
        <f t="shared" si="3"/>
        <v>#REF!</v>
      </c>
    </row>
    <row r="264" spans="1:9">
      <c r="A264" s="1531">
        <v>7062</v>
      </c>
      <c r="B264" s="1541" t="s">
        <v>439</v>
      </c>
      <c r="I264" s="1204" t="e">
        <f t="shared" si="3"/>
        <v>#REF!</v>
      </c>
    </row>
    <row r="265" spans="1:9">
      <c r="A265" s="1531">
        <v>7063</v>
      </c>
      <c r="B265" s="1541" t="s">
        <v>440</v>
      </c>
      <c r="I265" s="1204" t="e">
        <f t="shared" si="3"/>
        <v>#REF!</v>
      </c>
    </row>
    <row r="266" spans="1:9">
      <c r="A266" s="1531">
        <v>7021</v>
      </c>
      <c r="B266" s="1541" t="s">
        <v>441</v>
      </c>
      <c r="I266" s="1204" t="e">
        <f t="shared" si="3"/>
        <v>#REF!</v>
      </c>
    </row>
    <row r="267" spans="1:9">
      <c r="A267" s="1531">
        <v>7022</v>
      </c>
      <c r="B267" s="1541" t="s">
        <v>442</v>
      </c>
      <c r="I267" s="1204" t="e">
        <f t="shared" si="3"/>
        <v>#REF!</v>
      </c>
    </row>
    <row r="268" spans="1:9">
      <c r="A268" s="1531">
        <v>7023</v>
      </c>
      <c r="B268" s="1541" t="s">
        <v>443</v>
      </c>
      <c r="I268" s="1204" t="e">
        <f t="shared" si="3"/>
        <v>#REF!</v>
      </c>
    </row>
    <row r="269" spans="1:9">
      <c r="A269" s="1531">
        <v>7032</v>
      </c>
      <c r="B269" s="1541" t="s">
        <v>444</v>
      </c>
      <c r="I269" s="1204" t="e">
        <f t="shared" si="3"/>
        <v>#REF!</v>
      </c>
    </row>
    <row r="270" spans="1:9">
      <c r="A270" s="1531">
        <v>7033</v>
      </c>
      <c r="B270" s="1541" t="s">
        <v>445</v>
      </c>
      <c r="I270" s="1204" t="e">
        <f t="shared" si="3"/>
        <v>#REF!</v>
      </c>
    </row>
    <row r="271" spans="1:9">
      <c r="A271" s="1531">
        <v>7034</v>
      </c>
      <c r="B271" s="1541" t="s">
        <v>446</v>
      </c>
      <c r="I271" s="1204" t="e">
        <f t="shared" si="3"/>
        <v>#REF!</v>
      </c>
    </row>
    <row r="272" spans="1:9">
      <c r="A272" s="1531">
        <v>7064</v>
      </c>
      <c r="B272" s="1541" t="s">
        <v>447</v>
      </c>
      <c r="I272" s="1204" t="e">
        <f t="shared" si="3"/>
        <v>#REF!</v>
      </c>
    </row>
    <row r="273" spans="1:9">
      <c r="A273" s="1531">
        <v>7065</v>
      </c>
      <c r="B273" s="1541" t="s">
        <v>448</v>
      </c>
      <c r="I273" s="1204" t="e">
        <f t="shared" si="3"/>
        <v>#REF!</v>
      </c>
    </row>
    <row r="274" spans="1:9">
      <c r="A274" s="1531">
        <v>7066</v>
      </c>
      <c r="B274" s="1541" t="s">
        <v>449</v>
      </c>
      <c r="I274" s="1204" t="e">
        <f t="shared" si="3"/>
        <v>#REF!</v>
      </c>
    </row>
    <row r="275" spans="1:9">
      <c r="A275" s="1527">
        <v>7500</v>
      </c>
      <c r="B275" s="1542" t="s">
        <v>814</v>
      </c>
      <c r="I275" s="1204" t="e">
        <f t="shared" si="3"/>
        <v>#REF!</v>
      </c>
    </row>
    <row r="276" spans="1:9">
      <c r="A276" s="1531">
        <v>7581</v>
      </c>
      <c r="B276" s="1541" t="s">
        <v>450</v>
      </c>
      <c r="I276" s="1204" t="e">
        <f t="shared" si="3"/>
        <v>#REF!</v>
      </c>
    </row>
    <row r="277" spans="1:9">
      <c r="A277" s="1531">
        <v>7582</v>
      </c>
      <c r="B277" s="1541" t="s">
        <v>451</v>
      </c>
      <c r="I277" s="1204" t="e">
        <f t="shared" si="3"/>
        <v>#REF!</v>
      </c>
    </row>
    <row r="278" spans="1:9">
      <c r="A278" s="1531">
        <v>7583</v>
      </c>
      <c r="B278" s="1541" t="s">
        <v>452</v>
      </c>
      <c r="I278" s="1204" t="e">
        <f t="shared" si="3"/>
        <v>#REF!</v>
      </c>
    </row>
    <row r="279" spans="1:9">
      <c r="A279" s="1527">
        <v>7730</v>
      </c>
      <c r="B279" s="1542" t="s">
        <v>453</v>
      </c>
      <c r="I279" s="1204" t="e">
        <f t="shared" si="3"/>
        <v>#REF!</v>
      </c>
    </row>
    <row r="280" spans="1:9">
      <c r="A280" s="1527">
        <v>7731</v>
      </c>
      <c r="B280" s="1542" t="s">
        <v>454</v>
      </c>
      <c r="I280" s="1204" t="e">
        <f t="shared" si="3"/>
        <v>#REF!</v>
      </c>
    </row>
    <row r="281" spans="1:9">
      <c r="A281" s="1527">
        <v>7732</v>
      </c>
      <c r="B281" s="1542" t="s">
        <v>455</v>
      </c>
      <c r="I281" s="1204" t="e">
        <f t="shared" si="3"/>
        <v>#REF!</v>
      </c>
    </row>
    <row r="282" spans="1:9">
      <c r="A282" s="1527">
        <v>6031</v>
      </c>
      <c r="B282" s="1542" t="s">
        <v>1161</v>
      </c>
      <c r="I282" s="1204" t="e">
        <f t="shared" si="3"/>
        <v>#REF!</v>
      </c>
    </row>
    <row r="283" spans="1:9">
      <c r="A283" s="1527">
        <v>6032</v>
      </c>
      <c r="B283" s="1542" t="s">
        <v>456</v>
      </c>
      <c r="I283" s="1204" t="e">
        <f t="shared" si="3"/>
        <v>#REF!</v>
      </c>
    </row>
    <row r="284" spans="1:9">
      <c r="A284" s="1527">
        <v>6033</v>
      </c>
      <c r="B284" s="1542" t="s">
        <v>457</v>
      </c>
      <c r="I284" s="1204" t="e">
        <f t="shared" si="3"/>
        <v>#REF!</v>
      </c>
    </row>
    <row r="285" spans="1:9">
      <c r="A285" s="1530">
        <v>6034</v>
      </c>
      <c r="B285" s="1542" t="s">
        <v>906</v>
      </c>
      <c r="I285" s="1204" t="e">
        <f t="shared" si="3"/>
        <v>#REF!</v>
      </c>
    </row>
    <row r="286" spans="1:9">
      <c r="A286" s="1530">
        <v>6035</v>
      </c>
      <c r="B286" s="1542" t="s">
        <v>910</v>
      </c>
      <c r="I286" s="1204" t="e">
        <f t="shared" ref="I286:I348" si="4">I285+1</f>
        <v>#REF!</v>
      </c>
    </row>
    <row r="287" spans="1:9">
      <c r="A287" s="1530">
        <v>7360</v>
      </c>
      <c r="B287" s="1542" t="s">
        <v>1162</v>
      </c>
      <c r="I287" s="1204" t="e">
        <f t="shared" si="4"/>
        <v>#REF!</v>
      </c>
    </row>
    <row r="288" spans="1:9">
      <c r="A288" s="1527">
        <v>7073</v>
      </c>
      <c r="B288" s="1542" t="s">
        <v>175</v>
      </c>
      <c r="I288" s="1204" t="e">
        <f t="shared" si="4"/>
        <v>#REF!</v>
      </c>
    </row>
    <row r="289" spans="1:9">
      <c r="A289" s="1527">
        <v>7074</v>
      </c>
      <c r="B289" s="1542" t="s">
        <v>458</v>
      </c>
      <c r="I289" s="1204" t="e">
        <f t="shared" si="4"/>
        <v>#REF!</v>
      </c>
    </row>
    <row r="290" spans="1:9">
      <c r="A290" s="1527">
        <v>7075</v>
      </c>
      <c r="B290" s="1542" t="s">
        <v>459</v>
      </c>
      <c r="I290" s="1204" t="e">
        <f t="shared" si="4"/>
        <v>#REF!</v>
      </c>
    </row>
    <row r="291" spans="1:9">
      <c r="A291" s="1527">
        <v>7076</v>
      </c>
      <c r="B291" s="1542" t="s">
        <v>460</v>
      </c>
      <c r="I291" s="1204" t="e">
        <f t="shared" si="4"/>
        <v>#REF!</v>
      </c>
    </row>
    <row r="292" spans="1:9">
      <c r="A292" s="1527">
        <v>7100</v>
      </c>
      <c r="B292" s="1542" t="s">
        <v>461</v>
      </c>
      <c r="I292" s="1204" t="e">
        <f t="shared" si="4"/>
        <v>#REF!</v>
      </c>
    </row>
    <row r="293" spans="1:9">
      <c r="A293" s="1527">
        <v>718</v>
      </c>
      <c r="B293" s="1542" t="s">
        <v>462</v>
      </c>
      <c r="I293" s="1204" t="e">
        <f t="shared" si="4"/>
        <v>#REF!</v>
      </c>
    </row>
    <row r="294" spans="1:9">
      <c r="A294" s="1527">
        <v>771</v>
      </c>
      <c r="B294" s="1542" t="s">
        <v>1002</v>
      </c>
      <c r="I294" s="1204" t="e">
        <f t="shared" si="4"/>
        <v>#REF!</v>
      </c>
    </row>
    <row r="295" spans="1:9">
      <c r="A295" s="1527">
        <v>772</v>
      </c>
      <c r="B295" s="1542" t="s">
        <v>463</v>
      </c>
      <c r="I295" s="1204" t="e">
        <f t="shared" si="4"/>
        <v>#REF!</v>
      </c>
    </row>
    <row r="296" spans="1:9">
      <c r="A296" s="1527">
        <v>774</v>
      </c>
      <c r="B296" s="1542" t="s">
        <v>464</v>
      </c>
      <c r="I296" s="1204" t="e">
        <f t="shared" si="4"/>
        <v>#REF!</v>
      </c>
    </row>
    <row r="297" spans="1:9">
      <c r="A297" s="1527">
        <v>776</v>
      </c>
      <c r="B297" s="1542" t="s">
        <v>4</v>
      </c>
      <c r="I297" s="1204" t="e">
        <f t="shared" si="4"/>
        <v>#REF!</v>
      </c>
    </row>
    <row r="298" spans="1:9">
      <c r="A298" s="1527">
        <v>777</v>
      </c>
      <c r="B298" s="1542" t="s">
        <v>465</v>
      </c>
      <c r="I298" s="1204" t="e">
        <f t="shared" si="4"/>
        <v>#REF!</v>
      </c>
    </row>
    <row r="299" spans="1:9">
      <c r="A299" s="1527">
        <v>778</v>
      </c>
      <c r="B299" s="1542" t="s">
        <v>466</v>
      </c>
      <c r="I299" s="1204" t="e">
        <f t="shared" si="4"/>
        <v>#REF!</v>
      </c>
    </row>
    <row r="300" spans="1:9">
      <c r="A300" s="1527">
        <v>7791</v>
      </c>
      <c r="B300" s="1542" t="s">
        <v>467</v>
      </c>
      <c r="I300" s="1204" t="e">
        <f t="shared" si="4"/>
        <v>#REF!</v>
      </c>
    </row>
    <row r="301" spans="1:9">
      <c r="A301" s="1527">
        <v>7795</v>
      </c>
      <c r="B301" s="1542" t="s">
        <v>468</v>
      </c>
      <c r="I301" s="1204" t="e">
        <f t="shared" si="4"/>
        <v>#REF!</v>
      </c>
    </row>
    <row r="302" spans="1:9">
      <c r="A302" s="1526">
        <v>8210</v>
      </c>
      <c r="B302" s="1542" t="s">
        <v>469</v>
      </c>
      <c r="C302" s="505"/>
      <c r="I302" s="1204" t="e">
        <f t="shared" si="4"/>
        <v>#REF!</v>
      </c>
    </row>
    <row r="303" spans="1:9">
      <c r="A303" s="1526">
        <v>8220</v>
      </c>
      <c r="B303" s="1542" t="s">
        <v>470</v>
      </c>
      <c r="C303" s="505"/>
      <c r="I303" s="1204" t="e">
        <f t="shared" si="4"/>
        <v>#REF!</v>
      </c>
    </row>
    <row r="304" spans="1:9">
      <c r="A304" s="1526">
        <v>8230</v>
      </c>
      <c r="B304" s="1542" t="s">
        <v>471</v>
      </c>
      <c r="C304" s="505"/>
      <c r="I304" s="1204" t="e">
        <f t="shared" si="4"/>
        <v>#REF!</v>
      </c>
    </row>
    <row r="305" spans="1:9">
      <c r="A305" s="1527">
        <v>840</v>
      </c>
      <c r="B305" s="1542" t="s">
        <v>472</v>
      </c>
      <c r="I305" s="1204" t="e">
        <f t="shared" si="4"/>
        <v>#REF!</v>
      </c>
    </row>
    <row r="306" spans="1:9">
      <c r="A306" s="1527">
        <v>845</v>
      </c>
      <c r="B306" s="1542" t="s">
        <v>473</v>
      </c>
      <c r="I306" s="1204" t="e">
        <f t="shared" si="4"/>
        <v>#REF!</v>
      </c>
    </row>
    <row r="307" spans="1:9">
      <c r="A307" s="1527">
        <v>849</v>
      </c>
      <c r="B307" s="1542" t="s">
        <v>474</v>
      </c>
      <c r="I307" s="1204" t="e">
        <f t="shared" si="4"/>
        <v>#REF!</v>
      </c>
    </row>
    <row r="308" spans="1:9">
      <c r="A308" s="1527">
        <v>861</v>
      </c>
      <c r="B308" s="1542" t="s">
        <v>475</v>
      </c>
      <c r="I308" s="1204" t="e">
        <f t="shared" si="4"/>
        <v>#REF!</v>
      </c>
    </row>
    <row r="309" spans="1:9">
      <c r="A309" s="1527">
        <v>862</v>
      </c>
      <c r="B309" s="1542" t="s">
        <v>476</v>
      </c>
      <c r="I309" s="1204" t="e">
        <f t="shared" si="4"/>
        <v>#REF!</v>
      </c>
    </row>
    <row r="310" spans="1:9">
      <c r="A310" s="1527">
        <v>863</v>
      </c>
      <c r="B310" s="1542" t="s">
        <v>477</v>
      </c>
      <c r="I310" s="1204" t="e">
        <f t="shared" si="4"/>
        <v>#REF!</v>
      </c>
    </row>
    <row r="311" spans="1:9">
      <c r="A311" s="1527">
        <v>868</v>
      </c>
      <c r="B311" s="1542" t="s">
        <v>478</v>
      </c>
      <c r="I311" s="1204" t="e">
        <f t="shared" si="4"/>
        <v>#REF!</v>
      </c>
    </row>
    <row r="312" spans="1:9">
      <c r="A312" s="1527">
        <v>811</v>
      </c>
      <c r="B312" s="1542" t="s">
        <v>426</v>
      </c>
      <c r="I312" s="1204" t="e">
        <f t="shared" si="4"/>
        <v>#REF!</v>
      </c>
    </row>
    <row r="313" spans="1:9">
      <c r="A313" s="1527">
        <v>812</v>
      </c>
      <c r="B313" s="1542" t="s">
        <v>427</v>
      </c>
      <c r="I313" s="1204" t="e">
        <f t="shared" si="4"/>
        <v>#REF!</v>
      </c>
    </row>
    <row r="314" spans="1:9">
      <c r="A314" s="1527">
        <v>813</v>
      </c>
      <c r="B314" s="1542" t="s">
        <v>428</v>
      </c>
      <c r="I314" s="1204" t="e">
        <f t="shared" si="4"/>
        <v>#REF!</v>
      </c>
    </row>
    <row r="315" spans="1:9">
      <c r="A315" s="1526">
        <v>891</v>
      </c>
      <c r="B315" s="1541" t="s">
        <v>480</v>
      </c>
      <c r="I315" s="1204" t="e">
        <f>#REF!+1</f>
        <v>#REF!</v>
      </c>
    </row>
    <row r="316" spans="1:9">
      <c r="A316" s="506">
        <v>44311</v>
      </c>
      <c r="B316" s="1548" t="s">
        <v>750</v>
      </c>
      <c r="C316" s="509">
        <f>B351</f>
        <v>0.05</v>
      </c>
      <c r="I316" s="1204" t="e">
        <f t="shared" si="4"/>
        <v>#REF!</v>
      </c>
    </row>
    <row r="317" spans="1:9">
      <c r="A317" s="506">
        <v>44312</v>
      </c>
      <c r="B317" s="1548" t="s">
        <v>751</v>
      </c>
      <c r="C317" s="509">
        <f>B352</f>
        <v>0.185</v>
      </c>
      <c r="I317" s="1204" t="e">
        <f t="shared" si="4"/>
        <v>#REF!</v>
      </c>
    </row>
    <row r="318" spans="1:9">
      <c r="A318" s="506">
        <v>44313</v>
      </c>
      <c r="B318" s="1548" t="s">
        <v>755</v>
      </c>
      <c r="C318" s="509">
        <f>B353</f>
        <v>0.21</v>
      </c>
      <c r="I318" s="1204" t="e">
        <f t="shared" si="4"/>
        <v>#REF!</v>
      </c>
    </row>
    <row r="319" spans="1:9">
      <c r="A319" s="506" t="s">
        <v>790</v>
      </c>
      <c r="B319" s="1548" t="s">
        <v>790</v>
      </c>
      <c r="C319" s="506" t="s">
        <v>790</v>
      </c>
      <c r="I319" s="1204" t="e">
        <f t="shared" si="4"/>
        <v>#REF!</v>
      </c>
    </row>
    <row r="320" spans="1:9">
      <c r="A320" s="506">
        <v>44321</v>
      </c>
      <c r="B320" s="1548" t="s">
        <v>752</v>
      </c>
      <c r="C320" s="509">
        <f>C316</f>
        <v>0.05</v>
      </c>
      <c r="I320" s="1204" t="e">
        <f t="shared" si="4"/>
        <v>#REF!</v>
      </c>
    </row>
    <row r="321" spans="1:9">
      <c r="A321" s="506">
        <v>44322</v>
      </c>
      <c r="B321" s="1548" t="s">
        <v>753</v>
      </c>
      <c r="C321" s="509">
        <f t="shared" ref="C321:C322" si="5">C317</f>
        <v>0.185</v>
      </c>
      <c r="I321" s="1204" t="e">
        <f t="shared" si="4"/>
        <v>#REF!</v>
      </c>
    </row>
    <row r="322" spans="1:9">
      <c r="A322" s="506">
        <v>44323</v>
      </c>
      <c r="B322" s="1548" t="s">
        <v>754</v>
      </c>
      <c r="C322" s="509">
        <f t="shared" si="5"/>
        <v>0.21</v>
      </c>
      <c r="I322" s="1204" t="e">
        <f t="shared" si="4"/>
        <v>#REF!</v>
      </c>
    </row>
    <row r="323" spans="1:9">
      <c r="A323" s="506" t="s">
        <v>791</v>
      </c>
      <c r="B323" s="1548"/>
      <c r="C323" s="509"/>
      <c r="I323" s="1204" t="e">
        <f t="shared" si="4"/>
        <v>#REF!</v>
      </c>
    </row>
    <row r="324" spans="1:9">
      <c r="A324" s="506">
        <v>44331</v>
      </c>
      <c r="B324" s="1548" t="s">
        <v>756</v>
      </c>
      <c r="C324" s="509">
        <f>B351</f>
        <v>0.05</v>
      </c>
      <c r="I324" s="1204" t="e">
        <f t="shared" si="4"/>
        <v>#REF!</v>
      </c>
    </row>
    <row r="325" spans="1:9">
      <c r="A325" s="506">
        <v>44332</v>
      </c>
      <c r="B325" s="1548" t="s">
        <v>757</v>
      </c>
      <c r="C325" s="509">
        <f>B352</f>
        <v>0.185</v>
      </c>
      <c r="I325" s="1204" t="e">
        <f t="shared" si="4"/>
        <v>#REF!</v>
      </c>
    </row>
    <row r="326" spans="1:9">
      <c r="A326" s="506">
        <v>44333</v>
      </c>
      <c r="B326" s="1548" t="s">
        <v>758</v>
      </c>
      <c r="C326" s="509">
        <f>B353</f>
        <v>0.21</v>
      </c>
      <c r="I326" s="1204" t="e">
        <f t="shared" si="4"/>
        <v>#REF!</v>
      </c>
    </row>
    <row r="327" spans="1:9">
      <c r="A327" s="506" t="s">
        <v>792</v>
      </c>
      <c r="B327" s="1548" t="s">
        <v>792</v>
      </c>
      <c r="C327" s="506" t="s">
        <v>792</v>
      </c>
      <c r="I327" s="1204" t="e">
        <f t="shared" si="4"/>
        <v>#REF!</v>
      </c>
    </row>
    <row r="328" spans="1:9">
      <c r="A328" s="506">
        <v>44341</v>
      </c>
      <c r="B328" s="1548" t="s">
        <v>759</v>
      </c>
      <c r="C328" s="509">
        <f>B351</f>
        <v>0.05</v>
      </c>
      <c r="I328" s="1204" t="e">
        <f t="shared" si="4"/>
        <v>#REF!</v>
      </c>
    </row>
    <row r="329" spans="1:9">
      <c r="A329" s="506">
        <v>44342</v>
      </c>
      <c r="B329" s="1548" t="s">
        <v>760</v>
      </c>
      <c r="C329" s="509">
        <f>B352</f>
        <v>0.185</v>
      </c>
      <c r="I329" s="1204" t="e">
        <f t="shared" si="4"/>
        <v>#REF!</v>
      </c>
    </row>
    <row r="330" spans="1:9">
      <c r="A330" s="506">
        <v>44343</v>
      </c>
      <c r="B330" s="1548" t="s">
        <v>761</v>
      </c>
      <c r="C330" s="509">
        <f>B353</f>
        <v>0.21</v>
      </c>
      <c r="I330" s="1204" t="e">
        <f t="shared" si="4"/>
        <v>#REF!</v>
      </c>
    </row>
    <row r="331" spans="1:9" ht="25.5">
      <c r="A331" s="506" t="s">
        <v>793</v>
      </c>
      <c r="B331" s="1548" t="s">
        <v>793</v>
      </c>
      <c r="C331" s="506" t="s">
        <v>793</v>
      </c>
      <c r="I331" s="1204" t="e">
        <f t="shared" si="4"/>
        <v>#REF!</v>
      </c>
    </row>
    <row r="332" spans="1:9">
      <c r="A332" s="506">
        <v>44511</v>
      </c>
      <c r="B332" s="1548" t="s">
        <v>762</v>
      </c>
      <c r="C332" s="509">
        <f>B351</f>
        <v>0.05</v>
      </c>
      <c r="I332" s="1204" t="e">
        <f t="shared" si="4"/>
        <v>#REF!</v>
      </c>
    </row>
    <row r="333" spans="1:9">
      <c r="A333" s="506">
        <v>44512</v>
      </c>
      <c r="B333" s="1548" t="s">
        <v>763</v>
      </c>
      <c r="C333" s="509">
        <f>B352</f>
        <v>0.185</v>
      </c>
      <c r="I333" s="1204" t="e">
        <f t="shared" si="4"/>
        <v>#REF!</v>
      </c>
    </row>
    <row r="334" spans="1:9">
      <c r="A334" s="506">
        <v>44513</v>
      </c>
      <c r="B334" s="1548" t="s">
        <v>764</v>
      </c>
      <c r="C334" s="509">
        <f>B353</f>
        <v>0.21</v>
      </c>
      <c r="I334" s="1204" t="e">
        <f t="shared" si="4"/>
        <v>#REF!</v>
      </c>
    </row>
    <row r="335" spans="1:9" ht="25.5">
      <c r="A335" s="506" t="s">
        <v>794</v>
      </c>
      <c r="B335" s="1548" t="s">
        <v>794</v>
      </c>
      <c r="C335" s="506" t="s">
        <v>794</v>
      </c>
      <c r="I335" s="1204" t="e">
        <f t="shared" si="4"/>
        <v>#REF!</v>
      </c>
    </row>
    <row r="336" spans="1:9">
      <c r="A336" s="506">
        <v>44531</v>
      </c>
      <c r="B336" s="1548" t="s">
        <v>765</v>
      </c>
      <c r="C336" s="509">
        <f>B351</f>
        <v>0.05</v>
      </c>
      <c r="I336" s="1204" t="e">
        <f t="shared" si="4"/>
        <v>#REF!</v>
      </c>
    </row>
    <row r="337" spans="1:9">
      <c r="A337" s="506">
        <v>44532</v>
      </c>
      <c r="B337" s="1548" t="s">
        <v>766</v>
      </c>
      <c r="C337" s="509">
        <f>B352</f>
        <v>0.185</v>
      </c>
      <c r="I337" s="1204" t="e">
        <f t="shared" si="4"/>
        <v>#REF!</v>
      </c>
    </row>
    <row r="338" spans="1:9">
      <c r="A338" s="506">
        <v>44533</v>
      </c>
      <c r="B338" s="1548" t="s">
        <v>767</v>
      </c>
      <c r="C338" s="509">
        <f>B353</f>
        <v>0.21</v>
      </c>
      <c r="I338" s="1204" t="e">
        <f t="shared" si="4"/>
        <v>#REF!</v>
      </c>
    </row>
    <row r="339" spans="1:9" ht="25.5">
      <c r="A339" s="506" t="s">
        <v>789</v>
      </c>
      <c r="B339" s="1548" t="s">
        <v>789</v>
      </c>
      <c r="C339" s="506" t="s">
        <v>789</v>
      </c>
      <c r="I339" s="1204" t="e">
        <f t="shared" si="4"/>
        <v>#REF!</v>
      </c>
    </row>
    <row r="340" spans="1:9">
      <c r="A340" s="506">
        <v>44521</v>
      </c>
      <c r="B340" s="1548" t="s">
        <v>768</v>
      </c>
      <c r="C340" s="509">
        <f>B351</f>
        <v>0.05</v>
      </c>
      <c r="I340" s="1204" t="e">
        <f t="shared" si="4"/>
        <v>#REF!</v>
      </c>
    </row>
    <row r="341" spans="1:9">
      <c r="A341" s="506">
        <v>44522</v>
      </c>
      <c r="B341" s="1548" t="s">
        <v>769</v>
      </c>
      <c r="C341" s="509">
        <f>B352</f>
        <v>0.185</v>
      </c>
      <c r="I341" s="1204" t="e">
        <f t="shared" si="4"/>
        <v>#REF!</v>
      </c>
    </row>
    <row r="342" spans="1:9">
      <c r="A342" s="506">
        <v>44523</v>
      </c>
      <c r="B342" s="1548" t="s">
        <v>770</v>
      </c>
      <c r="C342" s="509">
        <f>B353</f>
        <v>0.21</v>
      </c>
      <c r="I342" s="1204" t="e">
        <f t="shared" si="4"/>
        <v>#REF!</v>
      </c>
    </row>
    <row r="343" spans="1:9">
      <c r="A343" s="506">
        <v>4449</v>
      </c>
      <c r="B343" s="1548" t="s">
        <v>489</v>
      </c>
      <c r="C343" s="510"/>
      <c r="I343" s="1204" t="e">
        <f t="shared" si="4"/>
        <v>#REF!</v>
      </c>
    </row>
    <row r="344" spans="1:9">
      <c r="A344" s="506">
        <v>4441</v>
      </c>
      <c r="B344" s="1548" t="s">
        <v>485</v>
      </c>
      <c r="C344" s="510"/>
      <c r="I344" s="1204" t="e">
        <f t="shared" si="4"/>
        <v>#REF!</v>
      </c>
    </row>
    <row r="345" spans="1:9">
      <c r="A345" s="507">
        <v>8600</v>
      </c>
      <c r="B345" s="1549" t="s">
        <v>481</v>
      </c>
      <c r="C345" s="510"/>
      <c r="I345" s="1204" t="e">
        <f t="shared" si="4"/>
        <v>#REF!</v>
      </c>
    </row>
    <row r="346" spans="1:9">
      <c r="A346" s="504">
        <v>4424</v>
      </c>
      <c r="B346" s="1550" t="s">
        <v>482</v>
      </c>
      <c r="C346" s="510"/>
      <c r="I346" s="1204" t="e">
        <f t="shared" si="4"/>
        <v>#REF!</v>
      </c>
    </row>
    <row r="347" spans="1:9">
      <c r="I347" s="1204" t="e">
        <f t="shared" si="4"/>
        <v>#REF!</v>
      </c>
    </row>
    <row r="348" spans="1:9">
      <c r="I348" s="1204" t="e">
        <f t="shared" si="4"/>
        <v>#REF!</v>
      </c>
    </row>
    <row r="349" spans="1:9">
      <c r="I349" s="1204" t="e">
        <f t="shared" ref="I349:I386" si="6">I348+1</f>
        <v>#REF!</v>
      </c>
    </row>
    <row r="350" spans="1:9">
      <c r="A350" s="511" t="s">
        <v>11</v>
      </c>
      <c r="B350" s="1552" t="s">
        <v>483</v>
      </c>
      <c r="I350" s="1204" t="e">
        <f t="shared" si="6"/>
        <v>#REF!</v>
      </c>
    </row>
    <row r="351" spans="1:9">
      <c r="A351" s="511" t="s">
        <v>11</v>
      </c>
      <c r="B351" s="1553">
        <v>0.05</v>
      </c>
      <c r="I351" s="1204" t="e">
        <f t="shared" si="6"/>
        <v>#REF!</v>
      </c>
    </row>
    <row r="352" spans="1:9">
      <c r="A352" s="511" t="s">
        <v>11</v>
      </c>
      <c r="B352" s="1553">
        <v>0.185</v>
      </c>
      <c r="I352" s="1204" t="e">
        <f t="shared" si="6"/>
        <v>#REF!</v>
      </c>
    </row>
    <row r="353" spans="1:9">
      <c r="A353" s="511" t="s">
        <v>11</v>
      </c>
      <c r="B353" s="1553">
        <v>0.21</v>
      </c>
      <c r="I353" s="1204" t="e">
        <f t="shared" si="6"/>
        <v>#REF!</v>
      </c>
    </row>
    <row r="354" spans="1:9">
      <c r="I354" s="1204" t="e">
        <f t="shared" si="6"/>
        <v>#REF!</v>
      </c>
    </row>
    <row r="355" spans="1:9">
      <c r="I355" s="1204" t="e">
        <f t="shared" si="6"/>
        <v>#REF!</v>
      </c>
    </row>
    <row r="356" spans="1:9">
      <c r="I356" s="1204" t="e">
        <f t="shared" si="6"/>
        <v>#REF!</v>
      </c>
    </row>
    <row r="357" spans="1:9">
      <c r="I357" s="1204" t="e">
        <f t="shared" si="6"/>
        <v>#REF!</v>
      </c>
    </row>
    <row r="358" spans="1:9">
      <c r="I358" s="1204" t="e">
        <f t="shared" si="6"/>
        <v>#REF!</v>
      </c>
    </row>
    <row r="359" spans="1:9">
      <c r="I359" s="1204" t="e">
        <f t="shared" si="6"/>
        <v>#REF!</v>
      </c>
    </row>
    <row r="360" spans="1:9">
      <c r="I360" s="1204" t="e">
        <f t="shared" si="6"/>
        <v>#REF!</v>
      </c>
    </row>
    <row r="361" spans="1:9">
      <c r="I361" s="1204" t="e">
        <f t="shared" si="6"/>
        <v>#REF!</v>
      </c>
    </row>
    <row r="362" spans="1:9">
      <c r="I362" s="1204" t="e">
        <f t="shared" si="6"/>
        <v>#REF!</v>
      </c>
    </row>
    <row r="363" spans="1:9">
      <c r="I363" s="1204" t="e">
        <f t="shared" si="6"/>
        <v>#REF!</v>
      </c>
    </row>
    <row r="364" spans="1:9">
      <c r="I364" s="1204" t="e">
        <f t="shared" si="6"/>
        <v>#REF!</v>
      </c>
    </row>
    <row r="365" spans="1:9">
      <c r="I365" s="1204" t="e">
        <f t="shared" si="6"/>
        <v>#REF!</v>
      </c>
    </row>
    <row r="366" spans="1:9">
      <c r="I366" s="1204" t="e">
        <f t="shared" si="6"/>
        <v>#REF!</v>
      </c>
    </row>
    <row r="367" spans="1:9">
      <c r="I367" s="1204" t="e">
        <f t="shared" si="6"/>
        <v>#REF!</v>
      </c>
    </row>
    <row r="368" spans="1:9">
      <c r="I368" s="1204" t="e">
        <f t="shared" si="6"/>
        <v>#REF!</v>
      </c>
    </row>
    <row r="369" spans="9:9">
      <c r="I369" s="1204" t="e">
        <f t="shared" si="6"/>
        <v>#REF!</v>
      </c>
    </row>
    <row r="370" spans="9:9">
      <c r="I370" s="1204" t="e">
        <f t="shared" si="6"/>
        <v>#REF!</v>
      </c>
    </row>
    <row r="371" spans="9:9">
      <c r="I371" s="1204" t="e">
        <f t="shared" si="6"/>
        <v>#REF!</v>
      </c>
    </row>
    <row r="372" spans="9:9">
      <c r="I372" s="1204" t="e">
        <f t="shared" si="6"/>
        <v>#REF!</v>
      </c>
    </row>
    <row r="373" spans="9:9">
      <c r="I373" s="1204" t="e">
        <f t="shared" si="6"/>
        <v>#REF!</v>
      </c>
    </row>
    <row r="374" spans="9:9">
      <c r="I374" s="1204" t="e">
        <f t="shared" si="6"/>
        <v>#REF!</v>
      </c>
    </row>
    <row r="375" spans="9:9">
      <c r="I375" s="1204" t="e">
        <f t="shared" si="6"/>
        <v>#REF!</v>
      </c>
    </row>
    <row r="376" spans="9:9">
      <c r="I376" s="1204" t="e">
        <f t="shared" si="6"/>
        <v>#REF!</v>
      </c>
    </row>
    <row r="377" spans="9:9">
      <c r="I377" s="1204" t="e">
        <f t="shared" si="6"/>
        <v>#REF!</v>
      </c>
    </row>
    <row r="378" spans="9:9">
      <c r="I378" s="1204" t="e">
        <f t="shared" si="6"/>
        <v>#REF!</v>
      </c>
    </row>
    <row r="379" spans="9:9">
      <c r="I379" s="1204" t="e">
        <f t="shared" si="6"/>
        <v>#REF!</v>
      </c>
    </row>
    <row r="380" spans="9:9">
      <c r="I380" s="1204" t="e">
        <f t="shared" si="6"/>
        <v>#REF!</v>
      </c>
    </row>
    <row r="381" spans="9:9">
      <c r="I381" s="1204" t="e">
        <f t="shared" si="6"/>
        <v>#REF!</v>
      </c>
    </row>
    <row r="382" spans="9:9">
      <c r="I382" s="1204" t="e">
        <f t="shared" si="6"/>
        <v>#REF!</v>
      </c>
    </row>
    <row r="383" spans="9:9">
      <c r="I383" s="1204" t="e">
        <f t="shared" si="6"/>
        <v>#REF!</v>
      </c>
    </row>
    <row r="384" spans="9:9">
      <c r="I384" s="1204" t="e">
        <f t="shared" si="6"/>
        <v>#REF!</v>
      </c>
    </row>
    <row r="385" spans="2:9">
      <c r="I385" s="1204" t="e">
        <f t="shared" si="6"/>
        <v>#REF!</v>
      </c>
    </row>
    <row r="386" spans="2:9">
      <c r="B386" s="516"/>
      <c r="I386" s="1204" t="e">
        <f t="shared" si="6"/>
        <v>#REF!</v>
      </c>
    </row>
    <row r="387" spans="2:9">
      <c r="B387" s="516"/>
      <c r="I387" s="1204" t="e">
        <f>I386+1</f>
        <v>#REF!</v>
      </c>
    </row>
    <row r="388" spans="2:9">
      <c r="I388" s="1204" t="e">
        <f t="shared" ref="I388:I391" si="7">I387+1</f>
        <v>#REF!</v>
      </c>
    </row>
    <row r="389" spans="2:9">
      <c r="I389" s="1204" t="e">
        <f t="shared" si="7"/>
        <v>#REF!</v>
      </c>
    </row>
    <row r="390" spans="2:9">
      <c r="I390" s="1204" t="e">
        <f t="shared" si="7"/>
        <v>#REF!</v>
      </c>
    </row>
    <row r="391" spans="2:9">
      <c r="I391" s="1204" t="e">
        <f t="shared" si="7"/>
        <v>#REF!</v>
      </c>
    </row>
  </sheetData>
  <pageMargins left="0.7" right="0.7" top="0.75" bottom="0.75" header="0.3" footer="0.3"/>
  <pageSetup paperSize="9" orientation="portrait" horizontalDpi="4294967293" verticalDpi="0" r:id="rId1"/>
  <legacyDrawing r:id="rId2"/>
  <tableParts count="1">
    <tablePart r:id="rId3"/>
  </tableParts>
</worksheet>
</file>

<file path=xl/worksheets/sheet20.xml><?xml version="1.0" encoding="utf-8"?>
<worksheet xmlns="http://schemas.openxmlformats.org/spreadsheetml/2006/main" xmlns:r="http://schemas.openxmlformats.org/officeDocument/2006/relationships">
  <sheetPr codeName="Feuil21"/>
  <dimension ref="A1:AMJ355"/>
  <sheetViews>
    <sheetView workbookViewId="0">
      <selection activeCell="F8" sqref="F8"/>
    </sheetView>
  </sheetViews>
  <sheetFormatPr baseColWidth="10" defaultRowHeight="14.1" customHeight="1"/>
  <cols>
    <col min="1" max="1" width="12.28515625" style="61" customWidth="1"/>
    <col min="2" max="2" width="33.28515625" style="61" customWidth="1"/>
    <col min="3" max="3" width="29.7109375" style="61" customWidth="1"/>
    <col min="4" max="4" width="16.5703125" style="61" customWidth="1"/>
    <col min="5" max="5" width="7.85546875" style="61" customWidth="1"/>
    <col min="6" max="1024" width="12.28515625" style="61" customWidth="1"/>
  </cols>
  <sheetData>
    <row r="1" spans="1:8" ht="14.1" customHeight="1">
      <c r="A1" s="80" t="s">
        <v>648</v>
      </c>
      <c r="B1" s="80"/>
    </row>
    <row r="3" spans="1:8" ht="14.1" customHeight="1">
      <c r="A3" s="1221" t="s">
        <v>649</v>
      </c>
      <c r="B3" s="1222"/>
      <c r="C3" s="308"/>
      <c r="D3" s="308"/>
      <c r="E3" s="308"/>
      <c r="F3" s="308"/>
      <c r="G3" s="308"/>
      <c r="H3" s="309"/>
    </row>
    <row r="4" spans="1:8" ht="14.1" customHeight="1">
      <c r="A4" s="768"/>
      <c r="B4" s="83" t="s">
        <v>650</v>
      </c>
      <c r="C4" s="242">
        <v>2000000</v>
      </c>
      <c r="D4" s="83"/>
      <c r="E4" s="83"/>
      <c r="F4" s="83"/>
      <c r="G4" s="83"/>
      <c r="H4" s="318"/>
    </row>
    <row r="5" spans="1:8" ht="14.1" customHeight="1">
      <c r="A5" s="347"/>
      <c r="B5" s="83" t="s">
        <v>651</v>
      </c>
      <c r="C5" s="242">
        <v>200000</v>
      </c>
      <c r="D5" s="83"/>
      <c r="E5" s="83"/>
      <c r="F5" s="83"/>
      <c r="G5" s="83"/>
      <c r="H5" s="318"/>
    </row>
    <row r="6" spans="1:8" ht="14.1" customHeight="1">
      <c r="A6" s="347"/>
      <c r="B6" s="83" t="s">
        <v>652</v>
      </c>
      <c r="C6" s="83">
        <f>SUM(C4:C5)</f>
        <v>2200000</v>
      </c>
      <c r="D6" s="83"/>
      <c r="E6" s="83"/>
      <c r="F6" s="83"/>
      <c r="G6" s="83"/>
      <c r="H6" s="318"/>
    </row>
    <row r="7" spans="1:8" ht="14.1" customHeight="1">
      <c r="A7" s="347"/>
      <c r="B7" s="83"/>
      <c r="C7" s="83"/>
      <c r="D7" s="83"/>
      <c r="E7" s="83"/>
      <c r="F7" s="83"/>
      <c r="G7" s="83"/>
      <c r="H7" s="318"/>
    </row>
    <row r="8" spans="1:8" ht="14.1" customHeight="1">
      <c r="A8" s="310" t="s">
        <v>653</v>
      </c>
      <c r="B8" s="65"/>
      <c r="C8" s="65"/>
      <c r="D8" s="83"/>
      <c r="E8" s="83"/>
      <c r="F8" s="83"/>
      <c r="G8" s="65"/>
      <c r="H8" s="314"/>
    </row>
    <row r="9" spans="1:8" ht="14.1" customHeight="1">
      <c r="A9" s="306">
        <v>260</v>
      </c>
      <c r="B9" s="82" t="s">
        <v>161</v>
      </c>
      <c r="C9" s="65"/>
      <c r="D9" s="83"/>
      <c r="E9" s="83"/>
      <c r="F9" s="83"/>
      <c r="G9" s="635">
        <f>C4</f>
        <v>2000000</v>
      </c>
      <c r="H9" s="314"/>
    </row>
    <row r="10" spans="1:8" ht="14.1" customHeight="1">
      <c r="A10" s="295">
        <v>6740</v>
      </c>
      <c r="B10" s="69" t="s">
        <v>414</v>
      </c>
      <c r="C10" s="65"/>
      <c r="D10" s="83"/>
      <c r="E10" s="83"/>
      <c r="F10" s="83"/>
      <c r="G10" s="635">
        <f>C5</f>
        <v>200000</v>
      </c>
      <c r="H10" s="314"/>
    </row>
    <row r="11" spans="1:8" ht="14.1" customHeight="1">
      <c r="A11" s="347"/>
      <c r="B11" s="71">
        <v>520</v>
      </c>
      <c r="C11" s="70" t="s">
        <v>170</v>
      </c>
      <c r="D11" s="83"/>
      <c r="E11" s="83"/>
      <c r="F11" s="83"/>
      <c r="G11" s="65"/>
      <c r="H11" s="314">
        <f>SUM(G9:G10)</f>
        <v>2200000</v>
      </c>
    </row>
    <row r="12" spans="1:8" ht="14.1" customHeight="1">
      <c r="A12" s="271" t="s">
        <v>1111</v>
      </c>
      <c r="B12" s="299"/>
      <c r="C12" s="300"/>
      <c r="D12" s="297"/>
      <c r="E12" s="297"/>
      <c r="F12" s="297"/>
      <c r="G12" s="297"/>
      <c r="H12" s="301"/>
    </row>
    <row r="13" spans="1:8" ht="14.1" customHeight="1">
      <c r="A13" s="298">
        <f>A9</f>
        <v>260</v>
      </c>
      <c r="B13" s="297" t="str">
        <f>B9</f>
        <v xml:space="preserve"> Participations</v>
      </c>
      <c r="C13" s="297"/>
      <c r="D13" s="297">
        <f>B11</f>
        <v>520</v>
      </c>
      <c r="E13" s="297" t="str">
        <f>C11</f>
        <v>Banques cpte en monnaie nationale</v>
      </c>
      <c r="F13" s="297"/>
      <c r="G13" s="297"/>
      <c r="H13" s="301">
        <f>G9</f>
        <v>2000000</v>
      </c>
    </row>
    <row r="14" spans="1:8" ht="14.1" customHeight="1">
      <c r="A14" s="302">
        <f>A10</f>
        <v>6740</v>
      </c>
      <c r="B14" s="303" t="str">
        <f>B10</f>
        <v>Autres charges financière et intérêts</v>
      </c>
      <c r="C14" s="304"/>
      <c r="D14" s="303">
        <f>D13</f>
        <v>520</v>
      </c>
      <c r="E14" s="303" t="str">
        <f>E13</f>
        <v>Banques cpte en monnaie nationale</v>
      </c>
      <c r="F14" s="304"/>
      <c r="G14" s="304"/>
      <c r="H14" s="305">
        <f>G10</f>
        <v>200000</v>
      </c>
    </row>
    <row r="15" spans="1:8" ht="14.1" customHeight="1">
      <c r="A15" s="347"/>
      <c r="B15" s="71"/>
      <c r="C15" s="70"/>
      <c r="D15" s="83"/>
      <c r="E15" s="83"/>
      <c r="F15" s="83"/>
      <c r="G15" s="65"/>
      <c r="H15" s="314"/>
    </row>
    <row r="16" spans="1:8" ht="14.1" customHeight="1">
      <c r="A16" s="1223" t="s">
        <v>654</v>
      </c>
      <c r="B16" s="1224"/>
      <c r="C16" s="83"/>
      <c r="D16" s="83"/>
      <c r="E16" s="83"/>
      <c r="F16" s="83"/>
      <c r="G16" s="83"/>
      <c r="H16" s="318"/>
    </row>
    <row r="17" spans="1:8" ht="14.1" customHeight="1">
      <c r="A17" s="347"/>
      <c r="B17" s="83"/>
      <c r="C17" s="83"/>
      <c r="D17" s="83"/>
      <c r="E17" s="83"/>
      <c r="F17" s="83"/>
      <c r="G17" s="83"/>
      <c r="H17" s="318"/>
    </row>
    <row r="18" spans="1:8" ht="14.1" customHeight="1">
      <c r="A18" s="347"/>
      <c r="B18" s="83" t="s">
        <v>655</v>
      </c>
      <c r="C18" s="83">
        <f>C6</f>
        <v>2200000</v>
      </c>
      <c r="D18" s="83"/>
      <c r="E18" s="83"/>
      <c r="F18" s="83"/>
      <c r="G18" s="83"/>
      <c r="H18" s="318"/>
    </row>
    <row r="19" spans="1:8" ht="14.1" customHeight="1">
      <c r="A19" s="347"/>
      <c r="B19" s="83" t="s">
        <v>656</v>
      </c>
      <c r="C19" s="242">
        <v>2300000</v>
      </c>
      <c r="D19" s="83"/>
      <c r="E19" s="83"/>
      <c r="F19" s="83"/>
      <c r="G19" s="83"/>
      <c r="H19" s="318"/>
    </row>
    <row r="20" spans="1:8" ht="14.1" customHeight="1">
      <c r="A20" s="769" t="str">
        <f>IF(C19&lt;C18,"Vous devez comptatbiliser une  perte","")</f>
        <v/>
      </c>
      <c r="B20" s="83"/>
      <c r="C20" s="83"/>
      <c r="D20" s="83"/>
      <c r="E20" s="83"/>
      <c r="F20" s="83"/>
      <c r="G20" s="83"/>
      <c r="H20" s="318"/>
    </row>
    <row r="21" spans="1:8" ht="14.1" customHeight="1">
      <c r="A21" s="310" t="s">
        <v>657</v>
      </c>
      <c r="B21" s="65"/>
      <c r="C21" s="65"/>
      <c r="D21" s="83"/>
      <c r="E21" s="83"/>
      <c r="F21" s="83"/>
      <c r="G21" s="65"/>
      <c r="H21" s="314"/>
    </row>
    <row r="22" spans="1:8" ht="14.1" customHeight="1">
      <c r="A22" s="307">
        <v>520</v>
      </c>
      <c r="B22" s="65" t="s">
        <v>170</v>
      </c>
      <c r="C22" s="65"/>
      <c r="D22" s="83"/>
      <c r="E22" s="83"/>
      <c r="F22" s="83"/>
      <c r="G22" s="65">
        <f>C19</f>
        <v>2300000</v>
      </c>
      <c r="H22" s="314"/>
    </row>
    <row r="23" spans="1:8" ht="14.1" customHeight="1">
      <c r="A23" s="295">
        <v>813</v>
      </c>
      <c r="B23" s="69" t="s">
        <v>428</v>
      </c>
      <c r="C23" s="65"/>
      <c r="D23" s="83"/>
      <c r="E23" s="83"/>
      <c r="F23" s="83"/>
      <c r="G23" s="65">
        <f>C18-C19</f>
        <v>-100000</v>
      </c>
      <c r="H23" s="314"/>
    </row>
    <row r="24" spans="1:8" ht="14.1" customHeight="1">
      <c r="A24" s="307"/>
      <c r="B24" s="65">
        <v>260</v>
      </c>
      <c r="C24" s="65" t="s">
        <v>161</v>
      </c>
      <c r="D24" s="83"/>
      <c r="E24" s="83"/>
      <c r="F24" s="83"/>
      <c r="G24" s="65"/>
      <c r="H24" s="314">
        <f>C18</f>
        <v>2200000</v>
      </c>
    </row>
    <row r="25" spans="1:8" ht="14.1" customHeight="1">
      <c r="A25" s="271" t="s">
        <v>1111</v>
      </c>
      <c r="B25" s="299"/>
      <c r="C25" s="300"/>
      <c r="D25" s="297"/>
      <c r="E25" s="297"/>
      <c r="F25" s="297"/>
      <c r="G25" s="297"/>
      <c r="H25" s="301"/>
    </row>
    <row r="26" spans="1:8" ht="14.1" customHeight="1">
      <c r="A26" s="298">
        <f>A22</f>
        <v>520</v>
      </c>
      <c r="B26" s="297" t="str">
        <f>B22</f>
        <v>Banques cpte en monnaie nationale</v>
      </c>
      <c r="C26" s="297"/>
      <c r="D26" s="297">
        <f>B24</f>
        <v>260</v>
      </c>
      <c r="E26" s="297" t="str">
        <f>C24</f>
        <v xml:space="preserve"> Participations</v>
      </c>
      <c r="F26" s="297"/>
      <c r="G26" s="297"/>
      <c r="H26" s="301">
        <f>G22</f>
        <v>2300000</v>
      </c>
    </row>
    <row r="27" spans="1:8" ht="14.1" customHeight="1">
      <c r="A27" s="302">
        <f>A23</f>
        <v>813</v>
      </c>
      <c r="B27" s="303" t="str">
        <f>B23</f>
        <v>Valeurs comptables cess. Immob. Finan</v>
      </c>
      <c r="C27" s="304"/>
      <c r="D27" s="303">
        <f>D26</f>
        <v>260</v>
      </c>
      <c r="E27" s="303" t="str">
        <f>E26</f>
        <v xml:space="preserve"> Participations</v>
      </c>
      <c r="F27" s="304"/>
      <c r="G27" s="304"/>
      <c r="H27" s="305">
        <f>G23</f>
        <v>-100000</v>
      </c>
    </row>
    <row r="28" spans="1:8" ht="14.1" customHeight="1">
      <c r="A28" s="769" t="str">
        <f>IF(C19&gt;C18,"Vous devez comptabiliser un gain","")</f>
        <v>Vous devez comptabiliser un gain</v>
      </c>
      <c r="B28" s="83"/>
      <c r="C28" s="83"/>
      <c r="D28" s="83"/>
      <c r="E28" s="83"/>
      <c r="F28" s="83"/>
      <c r="G28" s="83"/>
      <c r="H28" s="318"/>
    </row>
    <row r="29" spans="1:8" ht="14.1" customHeight="1">
      <c r="A29" s="347"/>
      <c r="B29" s="83"/>
      <c r="C29" s="83"/>
      <c r="D29" s="83"/>
      <c r="E29" s="83"/>
      <c r="F29" s="83"/>
      <c r="G29" s="83"/>
      <c r="H29" s="318"/>
    </row>
    <row r="30" spans="1:8" ht="14.1" customHeight="1">
      <c r="A30" s="310" t="s">
        <v>658</v>
      </c>
      <c r="B30" s="65"/>
      <c r="C30" s="65"/>
      <c r="D30" s="83"/>
      <c r="E30" s="83"/>
      <c r="F30" s="83"/>
      <c r="G30" s="65"/>
      <c r="H30" s="314"/>
    </row>
    <row r="31" spans="1:8" ht="14.1" customHeight="1">
      <c r="A31" s="307">
        <v>520</v>
      </c>
      <c r="B31" s="65" t="s">
        <v>170</v>
      </c>
      <c r="C31" s="65"/>
      <c r="D31" s="83"/>
      <c r="E31" s="83"/>
      <c r="F31" s="83"/>
      <c r="G31" s="65">
        <f>H33+H32</f>
        <v>2300000</v>
      </c>
      <c r="H31" s="314"/>
    </row>
    <row r="32" spans="1:8" ht="14.1" customHeight="1">
      <c r="A32" s="307"/>
      <c r="B32" s="90">
        <v>8230</v>
      </c>
      <c r="C32" s="72" t="s">
        <v>471</v>
      </c>
      <c r="D32" s="83"/>
      <c r="E32" s="83"/>
      <c r="F32" s="83"/>
      <c r="G32" s="65"/>
      <c r="H32" s="770">
        <f>C19-C18</f>
        <v>100000</v>
      </c>
    </row>
    <row r="33" spans="1:8" ht="14.1" customHeight="1">
      <c r="A33" s="316"/>
      <c r="B33" s="66">
        <v>260</v>
      </c>
      <c r="C33" s="66" t="s">
        <v>161</v>
      </c>
      <c r="D33" s="67"/>
      <c r="E33" s="67"/>
      <c r="F33" s="67"/>
      <c r="G33" s="66"/>
      <c r="H33" s="771">
        <f>C18</f>
        <v>2200000</v>
      </c>
    </row>
    <row r="34" spans="1:8" ht="14.1" customHeight="1">
      <c r="A34" s="271" t="s">
        <v>1111</v>
      </c>
      <c r="B34" s="299"/>
      <c r="C34" s="300"/>
      <c r="D34" s="297"/>
      <c r="E34" s="297"/>
      <c r="F34" s="297"/>
      <c r="G34" s="297"/>
      <c r="H34" s="301"/>
    </row>
    <row r="35" spans="1:8" ht="14.1" customHeight="1">
      <c r="A35" s="298">
        <f>A31</f>
        <v>520</v>
      </c>
      <c r="B35" s="297" t="str">
        <f>B31</f>
        <v>Banques cpte en monnaie nationale</v>
      </c>
      <c r="C35" s="297"/>
      <c r="D35" s="297">
        <f>B32</f>
        <v>8230</v>
      </c>
      <c r="E35" s="297" t="str">
        <f>C32</f>
        <v>Produit de cession sur les immob. Financ.</v>
      </c>
      <c r="F35" s="297"/>
      <c r="G35" s="297"/>
      <c r="H35" s="301">
        <f>H32</f>
        <v>100000</v>
      </c>
    </row>
    <row r="36" spans="1:8" ht="14.1" customHeight="1">
      <c r="A36" s="302">
        <f>A35</f>
        <v>520</v>
      </c>
      <c r="B36" s="302" t="str">
        <f>B35</f>
        <v>Banques cpte en monnaie nationale</v>
      </c>
      <c r="C36" s="304"/>
      <c r="D36" s="303">
        <f>B33</f>
        <v>260</v>
      </c>
      <c r="E36" s="303" t="str">
        <f>C33</f>
        <v xml:space="preserve"> Participations</v>
      </c>
      <c r="F36" s="304"/>
      <c r="G36" s="304"/>
      <c r="H36" s="320">
        <f>H33</f>
        <v>2200000</v>
      </c>
    </row>
    <row r="37" spans="1:8" ht="14.1" customHeight="1">
      <c r="A37" s="65"/>
      <c r="B37" s="65"/>
      <c r="C37" s="65"/>
      <c r="D37" s="83"/>
      <c r="E37" s="83"/>
      <c r="F37" s="83"/>
      <c r="G37" s="65"/>
      <c r="H37" s="268"/>
    </row>
    <row r="39" spans="1:8" ht="14.1" customHeight="1">
      <c r="A39" s="1225" t="s">
        <v>178</v>
      </c>
      <c r="B39" s="1226"/>
      <c r="C39" s="77"/>
      <c r="D39" s="77"/>
      <c r="E39" s="77"/>
      <c r="F39" s="77"/>
      <c r="G39" s="77"/>
      <c r="H39" s="78"/>
    </row>
    <row r="40" spans="1:8" ht="14.1" customHeight="1">
      <c r="A40" s="85"/>
      <c r="B40" s="83"/>
      <c r="C40" s="83"/>
      <c r="D40" s="83"/>
      <c r="E40" s="83"/>
      <c r="F40" s="83"/>
      <c r="G40" s="83"/>
      <c r="H40" s="84"/>
    </row>
    <row r="41" spans="1:8" ht="14.1" customHeight="1">
      <c r="A41" s="81" t="s">
        <v>659</v>
      </c>
      <c r="B41" s="65"/>
      <c r="C41" s="65"/>
      <c r="D41" s="83"/>
      <c r="E41" s="83"/>
      <c r="F41" s="83"/>
      <c r="G41" s="65"/>
      <c r="H41" s="86"/>
    </row>
    <row r="42" spans="1:8" ht="14.1" customHeight="1">
      <c r="A42" s="92">
        <v>266</v>
      </c>
      <c r="B42" s="93" t="s">
        <v>660</v>
      </c>
      <c r="C42" s="93"/>
      <c r="D42" s="83"/>
      <c r="E42" s="83"/>
      <c r="F42" s="83"/>
      <c r="G42" s="93">
        <f>H43</f>
        <v>2500000</v>
      </c>
      <c r="H42" s="94"/>
    </row>
    <row r="43" spans="1:8" ht="14.1" customHeight="1">
      <c r="A43" s="85"/>
      <c r="B43" s="71">
        <v>774</v>
      </c>
      <c r="C43" s="69" t="s">
        <v>464</v>
      </c>
      <c r="D43" s="83"/>
      <c r="E43" s="83"/>
      <c r="F43" s="83"/>
      <c r="G43" s="93"/>
      <c r="H43" s="243">
        <v>2500000</v>
      </c>
    </row>
    <row r="44" spans="1:8" ht="14.1" customHeight="1">
      <c r="A44" s="68">
        <v>520</v>
      </c>
      <c r="B44" s="70" t="s">
        <v>170</v>
      </c>
      <c r="C44" s="93"/>
      <c r="D44" s="83"/>
      <c r="E44" s="83"/>
      <c r="F44" s="83"/>
      <c r="G44" s="93">
        <f>G42</f>
        <v>2500000</v>
      </c>
      <c r="H44" s="94"/>
    </row>
    <row r="45" spans="1:8" ht="14.1" customHeight="1">
      <c r="A45" s="95"/>
      <c r="B45" s="96">
        <v>266</v>
      </c>
      <c r="C45" s="96" t="s">
        <v>660</v>
      </c>
      <c r="D45" s="67"/>
      <c r="E45" s="67"/>
      <c r="F45" s="67"/>
      <c r="G45" s="67"/>
      <c r="H45" s="97">
        <f>G44</f>
        <v>2500000</v>
      </c>
    </row>
    <row r="46" spans="1:8" ht="14.1" customHeight="1">
      <c r="A46" s="271" t="s">
        <v>1111</v>
      </c>
      <c r="B46" s="299"/>
      <c r="C46" s="300"/>
      <c r="D46" s="297"/>
      <c r="E46" s="297"/>
      <c r="F46" s="297"/>
      <c r="G46" s="297"/>
      <c r="H46" s="301"/>
    </row>
    <row r="47" spans="1:8" ht="14.1" customHeight="1">
      <c r="A47" s="298">
        <f>A42</f>
        <v>266</v>
      </c>
      <c r="B47" s="298" t="str">
        <f>B42</f>
        <v>Créances ratachées à des participations</v>
      </c>
      <c r="C47" s="297"/>
      <c r="D47" s="297">
        <f>B43</f>
        <v>774</v>
      </c>
      <c r="E47" s="297" t="str">
        <f t="shared" ref="E47" si="0">C43</f>
        <v>Revenus de titres de placement</v>
      </c>
      <c r="F47" s="297"/>
      <c r="G47" s="297"/>
      <c r="H47" s="301">
        <f>G42</f>
        <v>2500000</v>
      </c>
    </row>
    <row r="48" spans="1:8" ht="14.1" customHeight="1">
      <c r="A48" s="302">
        <f>A44</f>
        <v>520</v>
      </c>
      <c r="B48" s="302" t="str">
        <f>B44</f>
        <v>Banques cpte en monnaie nationale</v>
      </c>
      <c r="C48" s="304"/>
      <c r="D48" s="303">
        <f>B45</f>
        <v>266</v>
      </c>
      <c r="E48" s="303" t="str">
        <f>C45</f>
        <v>Créances ratachées à des participations</v>
      </c>
      <c r="F48" s="304"/>
      <c r="G48" s="304"/>
      <c r="H48" s="305">
        <f>H45</f>
        <v>2500000</v>
      </c>
    </row>
    <row r="49" spans="1:8" ht="14.1" customHeight="1">
      <c r="A49" s="93"/>
      <c r="B49" s="93"/>
      <c r="C49" s="93"/>
      <c r="D49" s="83"/>
      <c r="E49" s="83"/>
      <c r="F49" s="83"/>
      <c r="G49" s="83"/>
      <c r="H49" s="83"/>
    </row>
    <row r="51" spans="1:8" ht="14.1" customHeight="1">
      <c r="A51" s="1221" t="s">
        <v>661</v>
      </c>
      <c r="B51" s="1222"/>
      <c r="C51" s="1222"/>
      <c r="D51" s="308"/>
      <c r="E51" s="308"/>
      <c r="F51" s="308"/>
      <c r="G51" s="308"/>
      <c r="H51" s="309"/>
    </row>
    <row r="52" spans="1:8" ht="14.1" customHeight="1">
      <c r="A52" s="348"/>
      <c r="B52" s="83"/>
      <c r="C52" s="83"/>
      <c r="D52" s="83"/>
      <c r="E52" s="83"/>
      <c r="F52" s="83"/>
      <c r="G52" s="83"/>
      <c r="H52" s="318"/>
    </row>
    <row r="53" spans="1:8" ht="14.1" customHeight="1">
      <c r="A53" s="347"/>
      <c r="B53" s="83" t="s">
        <v>662</v>
      </c>
      <c r="C53" s="242">
        <v>100</v>
      </c>
      <c r="D53" s="83"/>
      <c r="E53" s="83"/>
      <c r="F53" s="83"/>
      <c r="G53" s="83"/>
      <c r="H53" s="318"/>
    </row>
    <row r="54" spans="1:8" ht="14.1" customHeight="1">
      <c r="A54" s="347"/>
      <c r="B54" s="83" t="s">
        <v>663</v>
      </c>
      <c r="C54" s="242">
        <v>25000</v>
      </c>
      <c r="D54" s="83"/>
      <c r="E54" s="83"/>
      <c r="F54" s="83"/>
      <c r="G54" s="83"/>
      <c r="H54" s="318"/>
    </row>
    <row r="55" spans="1:8" ht="14.1" customHeight="1">
      <c r="A55" s="347"/>
      <c r="B55" s="83" t="s">
        <v>664</v>
      </c>
      <c r="C55" s="244">
        <v>0.1</v>
      </c>
      <c r="D55" s="83"/>
      <c r="E55" s="83"/>
      <c r="F55" s="83"/>
      <c r="G55" s="83"/>
      <c r="H55" s="318"/>
    </row>
    <row r="56" spans="1:8" ht="14.1" customHeight="1">
      <c r="A56" s="347"/>
      <c r="B56" s="83" t="s">
        <v>43</v>
      </c>
      <c r="C56" s="83">
        <f>C53*C54</f>
        <v>2500000</v>
      </c>
      <c r="D56" s="83"/>
      <c r="E56" s="83"/>
      <c r="F56" s="83"/>
      <c r="G56" s="83"/>
      <c r="H56" s="318"/>
    </row>
    <row r="57" spans="1:8" ht="14.1" customHeight="1">
      <c r="A57" s="347"/>
      <c r="B57" s="83"/>
      <c r="C57" s="83"/>
      <c r="D57" s="83"/>
      <c r="E57" s="83"/>
      <c r="F57" s="83"/>
      <c r="G57" s="83"/>
      <c r="H57" s="318"/>
    </row>
    <row r="58" spans="1:8" ht="14.1" customHeight="1">
      <c r="A58" s="310" t="s">
        <v>665</v>
      </c>
      <c r="B58" s="83"/>
      <c r="C58" s="83"/>
      <c r="D58" s="83"/>
      <c r="E58" s="83"/>
      <c r="F58" s="83"/>
      <c r="G58" s="83"/>
      <c r="H58" s="318"/>
    </row>
    <row r="59" spans="1:8" ht="14.1" customHeight="1">
      <c r="A59" s="307"/>
      <c r="B59" s="65"/>
      <c r="C59" s="65"/>
      <c r="D59" s="83"/>
      <c r="E59" s="83"/>
      <c r="F59" s="83"/>
      <c r="G59" s="65"/>
      <c r="H59" s="314"/>
    </row>
    <row r="60" spans="1:8" ht="14.1" customHeight="1">
      <c r="A60" s="307">
        <v>272</v>
      </c>
      <c r="B60" s="65" t="s">
        <v>666</v>
      </c>
      <c r="C60" s="65"/>
      <c r="D60" s="83"/>
      <c r="E60" s="83"/>
      <c r="F60" s="83"/>
      <c r="G60" s="65">
        <f>C56</f>
        <v>2500000</v>
      </c>
      <c r="H60" s="314"/>
    </row>
    <row r="61" spans="1:8" ht="14.1" customHeight="1">
      <c r="A61" s="295">
        <v>6740</v>
      </c>
      <c r="B61" s="69" t="s">
        <v>414</v>
      </c>
      <c r="C61" s="65"/>
      <c r="D61" s="83"/>
      <c r="E61" s="83"/>
      <c r="F61" s="83"/>
      <c r="G61" s="65">
        <f>C56*C55</f>
        <v>250000</v>
      </c>
      <c r="H61" s="314"/>
    </row>
    <row r="62" spans="1:8" ht="14.1" customHeight="1">
      <c r="A62" s="307">
        <v>44522</v>
      </c>
      <c r="B62" s="65" t="s">
        <v>488</v>
      </c>
      <c r="C62" s="245">
        <v>0.185</v>
      </c>
      <c r="D62" s="83"/>
      <c r="E62" s="83"/>
      <c r="F62" s="83"/>
      <c r="G62" s="65">
        <f>G61*C62</f>
        <v>46250</v>
      </c>
      <c r="H62" s="314"/>
    </row>
    <row r="63" spans="1:8" ht="14.1" customHeight="1">
      <c r="A63" s="307"/>
      <c r="B63" s="71">
        <v>520</v>
      </c>
      <c r="C63" s="70" t="s">
        <v>170</v>
      </c>
      <c r="D63" s="83"/>
      <c r="E63" s="83"/>
      <c r="F63" s="83"/>
      <c r="G63" s="65"/>
      <c r="H63" s="314">
        <f>SUM(G60:G62)</f>
        <v>2796250</v>
      </c>
    </row>
    <row r="64" spans="1:8" ht="14.1" customHeight="1">
      <c r="A64" s="271" t="s">
        <v>1111</v>
      </c>
      <c r="B64" s="299"/>
      <c r="C64" s="300"/>
      <c r="D64" s="297"/>
      <c r="E64" s="297"/>
      <c r="F64" s="297"/>
      <c r="G64" s="297"/>
      <c r="H64" s="301"/>
    </row>
    <row r="65" spans="1:8" ht="14.1" customHeight="1">
      <c r="A65" s="298">
        <f>A60</f>
        <v>272</v>
      </c>
      <c r="B65" s="298" t="str">
        <f>B60</f>
        <v>Autres titres immobilisés – Obligations</v>
      </c>
      <c r="C65" s="297"/>
      <c r="D65" s="297">
        <f>B63</f>
        <v>520</v>
      </c>
      <c r="E65" s="297" t="str">
        <f>C63</f>
        <v>Banques cpte en monnaie nationale</v>
      </c>
      <c r="F65" s="297"/>
      <c r="G65" s="297"/>
      <c r="H65" s="301">
        <f>G60</f>
        <v>2500000</v>
      </c>
    </row>
    <row r="66" spans="1:8" ht="14.1" customHeight="1">
      <c r="A66" s="302">
        <f>A61</f>
        <v>6740</v>
      </c>
      <c r="B66" s="302" t="str">
        <f>B61</f>
        <v>Autres charges financière et intérêts</v>
      </c>
      <c r="C66" s="304"/>
      <c r="D66" s="303">
        <f>B63</f>
        <v>520</v>
      </c>
      <c r="E66" s="303" t="str">
        <f>C63</f>
        <v>Banques cpte en monnaie nationale</v>
      </c>
      <c r="F66" s="304"/>
      <c r="G66" s="304"/>
      <c r="H66" s="305">
        <f>G61+G62</f>
        <v>296250</v>
      </c>
    </row>
    <row r="67" spans="1:8" ht="14.1" customHeight="1">
      <c r="A67" s="307"/>
      <c r="B67" s="71"/>
      <c r="C67" s="70"/>
      <c r="D67" s="83"/>
      <c r="E67" s="83"/>
      <c r="F67" s="83"/>
      <c r="G67" s="65"/>
      <c r="H67" s="314"/>
    </row>
    <row r="68" spans="1:8" ht="14.1" customHeight="1">
      <c r="A68" s="1223" t="s">
        <v>667</v>
      </c>
      <c r="B68" s="1224"/>
      <c r="C68" s="83"/>
      <c r="D68" s="83"/>
      <c r="E68" s="83"/>
      <c r="F68" s="83"/>
      <c r="G68" s="83"/>
      <c r="H68" s="318"/>
    </row>
    <row r="69" spans="1:8" ht="14.1" customHeight="1">
      <c r="A69" s="347"/>
      <c r="B69" s="635" t="s">
        <v>668</v>
      </c>
      <c r="C69" s="242">
        <v>100</v>
      </c>
      <c r="D69" s="83"/>
      <c r="E69" s="83"/>
      <c r="F69" s="83"/>
      <c r="G69" s="83"/>
      <c r="H69" s="318"/>
    </row>
    <row r="70" spans="1:8" ht="14.1" customHeight="1">
      <c r="A70" s="347"/>
      <c r="B70" s="635" t="s">
        <v>669</v>
      </c>
      <c r="C70" s="242">
        <v>30000</v>
      </c>
      <c r="D70" s="83"/>
      <c r="E70" s="83"/>
      <c r="F70" s="83"/>
      <c r="G70" s="83"/>
      <c r="H70" s="318"/>
    </row>
    <row r="71" spans="1:8" ht="14.1" customHeight="1">
      <c r="A71" s="347"/>
      <c r="B71" s="635" t="s">
        <v>670</v>
      </c>
      <c r="C71" s="244">
        <v>0.1</v>
      </c>
      <c r="D71" s="83"/>
      <c r="E71" s="83"/>
      <c r="F71" s="83"/>
      <c r="G71" s="83"/>
      <c r="H71" s="318"/>
    </row>
    <row r="72" spans="1:8" ht="14.1" customHeight="1">
      <c r="A72" s="347"/>
      <c r="B72" s="635" t="s">
        <v>671</v>
      </c>
      <c r="C72" s="83">
        <f>C69*C70</f>
        <v>3000000</v>
      </c>
      <c r="D72" s="83"/>
      <c r="E72" s="83"/>
      <c r="F72" s="83"/>
      <c r="G72" s="83"/>
      <c r="H72" s="318"/>
    </row>
    <row r="73" spans="1:8" ht="14.1" customHeight="1">
      <c r="A73" s="347"/>
      <c r="B73" s="635"/>
      <c r="C73" s="83"/>
      <c r="D73" s="83"/>
      <c r="E73" s="83"/>
      <c r="F73" s="83"/>
      <c r="G73" s="83"/>
      <c r="H73" s="318"/>
    </row>
    <row r="74" spans="1:8" ht="14.1" customHeight="1">
      <c r="A74" s="310" t="s">
        <v>672</v>
      </c>
      <c r="B74" s="65"/>
      <c r="C74" s="65"/>
      <c r="D74" s="83"/>
      <c r="E74" s="83"/>
      <c r="F74" s="83"/>
      <c r="G74" s="65"/>
      <c r="H74" s="314"/>
    </row>
    <row r="75" spans="1:8" ht="14.1" customHeight="1">
      <c r="A75" s="307">
        <v>520</v>
      </c>
      <c r="B75" s="65" t="s">
        <v>1202</v>
      </c>
      <c r="C75" s="65"/>
      <c r="D75" s="83"/>
      <c r="E75" s="83"/>
      <c r="F75" s="83"/>
      <c r="G75" s="65">
        <f>H78-SUM(G76:G77)</f>
        <v>2644500</v>
      </c>
      <c r="H75" s="314"/>
    </row>
    <row r="76" spans="1:8" ht="14.1" customHeight="1">
      <c r="A76" s="295">
        <v>6740</v>
      </c>
      <c r="B76" s="69" t="s">
        <v>1201</v>
      </c>
      <c r="C76" s="93"/>
      <c r="D76" s="83"/>
      <c r="E76" s="83"/>
      <c r="F76" s="83"/>
      <c r="G76" s="93">
        <f>C72*C71</f>
        <v>300000</v>
      </c>
      <c r="H76" s="772"/>
    </row>
    <row r="77" spans="1:8" ht="14.1" customHeight="1">
      <c r="A77" s="307">
        <v>44312</v>
      </c>
      <c r="B77" s="65" t="s">
        <v>836</v>
      </c>
      <c r="C77" s="251">
        <f>C62</f>
        <v>0.185</v>
      </c>
      <c r="D77" s="83"/>
      <c r="E77" s="83"/>
      <c r="F77" s="83"/>
      <c r="G77" s="65">
        <f>G76*C77</f>
        <v>55500</v>
      </c>
      <c r="H77" s="314"/>
    </row>
    <row r="78" spans="1:8" ht="14.1" customHeight="1">
      <c r="A78" s="347"/>
      <c r="B78" s="98">
        <v>8230</v>
      </c>
      <c r="C78" s="69" t="s">
        <v>471</v>
      </c>
      <c r="D78" s="83"/>
      <c r="E78" s="83"/>
      <c r="F78" s="83"/>
      <c r="G78" s="65"/>
      <c r="H78" s="314">
        <f>C72</f>
        <v>3000000</v>
      </c>
    </row>
    <row r="79" spans="1:8" ht="14.1" customHeight="1">
      <c r="A79" s="271" t="s">
        <v>1111</v>
      </c>
      <c r="B79" s="299"/>
      <c r="C79" s="300"/>
      <c r="D79" s="297"/>
      <c r="E79" s="297"/>
      <c r="F79" s="297"/>
      <c r="G79" s="297"/>
      <c r="H79" s="301"/>
    </row>
    <row r="80" spans="1:8" ht="14.1" customHeight="1">
      <c r="A80" s="298">
        <f>A75</f>
        <v>520</v>
      </c>
      <c r="B80" s="298" t="str">
        <f>B75</f>
        <v>Banque cpte en monnaie nationale</v>
      </c>
      <c r="C80" s="297"/>
      <c r="D80" s="297">
        <f>B78</f>
        <v>8230</v>
      </c>
      <c r="E80" s="297" t="str">
        <f>C78</f>
        <v>Produit de cession sur les immob. Financ.</v>
      </c>
      <c r="F80" s="297"/>
      <c r="G80" s="297"/>
      <c r="H80" s="301">
        <f>G75</f>
        <v>2644500</v>
      </c>
    </row>
    <row r="81" spans="1:8" ht="14.1" customHeight="1">
      <c r="A81" s="302">
        <f>A76</f>
        <v>6740</v>
      </c>
      <c r="B81" s="302" t="str">
        <f>B76</f>
        <v>Autres charges financières et intérêts</v>
      </c>
      <c r="C81" s="304"/>
      <c r="D81" s="303">
        <f>D80</f>
        <v>8230</v>
      </c>
      <c r="E81" s="303" t="str">
        <f>E80</f>
        <v>Produit de cession sur les immob. Financ.</v>
      </c>
      <c r="F81" s="304"/>
      <c r="G81" s="304"/>
      <c r="H81" s="305">
        <f>G76+G77</f>
        <v>355500</v>
      </c>
    </row>
    <row r="82" spans="1:8" ht="14.1" customHeight="1">
      <c r="A82" s="348"/>
      <c r="B82" s="83"/>
      <c r="C82" s="83"/>
      <c r="D82" s="83"/>
      <c r="E82" s="83"/>
      <c r="F82" s="83"/>
      <c r="G82" s="83"/>
      <c r="H82" s="318"/>
    </row>
    <row r="83" spans="1:8" ht="14.1" customHeight="1">
      <c r="A83" s="1227" t="s">
        <v>673</v>
      </c>
      <c r="B83" s="1224"/>
      <c r="C83" s="83"/>
      <c r="D83" s="83"/>
      <c r="E83" s="83"/>
      <c r="F83" s="83"/>
      <c r="G83" s="83"/>
      <c r="H83" s="318"/>
    </row>
    <row r="84" spans="1:8" ht="14.1" customHeight="1">
      <c r="A84" s="295">
        <v>813</v>
      </c>
      <c r="B84" s="69" t="s">
        <v>428</v>
      </c>
      <c r="C84" s="65"/>
      <c r="D84" s="83"/>
      <c r="E84" s="83"/>
      <c r="F84" s="83"/>
      <c r="G84" s="65">
        <f>C69*C54</f>
        <v>2500000</v>
      </c>
      <c r="H84" s="314"/>
    </row>
    <row r="85" spans="1:8" ht="14.1" customHeight="1">
      <c r="A85" s="773"/>
      <c r="B85" s="73">
        <v>272</v>
      </c>
      <c r="C85" s="73" t="s">
        <v>666</v>
      </c>
      <c r="D85" s="83"/>
      <c r="E85" s="83"/>
      <c r="F85" s="83"/>
      <c r="G85" s="269"/>
      <c r="H85" s="771">
        <f>G84</f>
        <v>2500000</v>
      </c>
    </row>
    <row r="86" spans="1:8" ht="14.1" customHeight="1">
      <c r="A86" s="271" t="s">
        <v>1111</v>
      </c>
      <c r="B86" s="299"/>
      <c r="C86" s="300"/>
      <c r="D86" s="297"/>
      <c r="E86" s="297"/>
      <c r="F86" s="297"/>
      <c r="G86" s="297"/>
      <c r="H86" s="301"/>
    </row>
    <row r="87" spans="1:8" ht="14.1" customHeight="1">
      <c r="A87" s="298">
        <f>A84</f>
        <v>813</v>
      </c>
      <c r="B87" s="298" t="str">
        <f>B84</f>
        <v>Valeurs comptables cess. Immob. Finan</v>
      </c>
      <c r="C87" s="297"/>
      <c r="D87" s="297">
        <f>B85</f>
        <v>272</v>
      </c>
      <c r="E87" s="297" t="str">
        <f>C85</f>
        <v>Autres titres immobilisés – Obligations</v>
      </c>
      <c r="F87" s="297"/>
      <c r="G87" s="297"/>
      <c r="H87" s="301">
        <f>G84</f>
        <v>2500000</v>
      </c>
    </row>
    <row r="88" spans="1:8" ht="14.1" customHeight="1">
      <c r="A88" s="774"/>
      <c r="B88" s="65"/>
      <c r="C88" s="65"/>
      <c r="D88" s="83"/>
      <c r="E88" s="83"/>
      <c r="F88" s="83"/>
      <c r="G88" s="311"/>
      <c r="H88" s="770"/>
    </row>
    <row r="89" spans="1:8" ht="14.1" customHeight="1">
      <c r="A89" s="347"/>
      <c r="B89" s="83"/>
      <c r="C89" s="83"/>
      <c r="D89" s="83"/>
      <c r="E89" s="83"/>
      <c r="F89" s="83"/>
      <c r="G89" s="83"/>
      <c r="H89" s="318"/>
    </row>
    <row r="90" spans="1:8" ht="14.1" customHeight="1">
      <c r="A90" s="1228" t="s">
        <v>674</v>
      </c>
      <c r="B90" s="1226"/>
      <c r="C90" s="77"/>
      <c r="D90" s="77"/>
      <c r="E90" s="77"/>
      <c r="F90" s="77"/>
      <c r="G90" s="77"/>
      <c r="H90" s="775"/>
    </row>
    <row r="91" spans="1:8" ht="14.1" customHeight="1">
      <c r="A91" s="347"/>
      <c r="B91" s="83" t="s">
        <v>675</v>
      </c>
      <c r="C91" s="242">
        <v>500000</v>
      </c>
      <c r="D91" s="83"/>
      <c r="E91" s="83"/>
      <c r="F91" s="83"/>
      <c r="G91" s="83"/>
      <c r="H91" s="318"/>
    </row>
    <row r="92" spans="1:8" ht="14.1" customHeight="1">
      <c r="A92" s="347"/>
      <c r="B92" s="83"/>
      <c r="C92" s="83"/>
      <c r="D92" s="83"/>
      <c r="E92" s="83"/>
      <c r="F92" s="83"/>
      <c r="G92" s="83"/>
      <c r="H92" s="318"/>
    </row>
    <row r="93" spans="1:8" ht="14.1" customHeight="1">
      <c r="A93" s="310" t="s">
        <v>676</v>
      </c>
      <c r="B93" s="65"/>
      <c r="C93" s="65"/>
      <c r="D93" s="83"/>
      <c r="E93" s="83"/>
      <c r="F93" s="83"/>
      <c r="G93" s="65"/>
      <c r="H93" s="314"/>
    </row>
    <row r="94" spans="1:8" ht="14.1" customHeight="1">
      <c r="A94" s="776">
        <v>520</v>
      </c>
      <c r="B94" s="62" t="s">
        <v>170</v>
      </c>
      <c r="C94" s="93"/>
      <c r="D94" s="83"/>
      <c r="E94" s="83"/>
      <c r="F94" s="83"/>
      <c r="G94" s="93">
        <f>C91</f>
        <v>500000</v>
      </c>
      <c r="H94" s="772"/>
    </row>
    <row r="95" spans="1:8" ht="14.1" customHeight="1">
      <c r="A95" s="347"/>
      <c r="B95" s="99">
        <v>774</v>
      </c>
      <c r="C95" s="100" t="s">
        <v>464</v>
      </c>
      <c r="D95" s="67"/>
      <c r="E95" s="67"/>
      <c r="F95" s="67"/>
      <c r="G95" s="96"/>
      <c r="H95" s="777">
        <f>G94</f>
        <v>500000</v>
      </c>
    </row>
    <row r="96" spans="1:8" ht="14.1" customHeight="1">
      <c r="A96" s="271" t="s">
        <v>1111</v>
      </c>
      <c r="B96" s="299"/>
      <c r="C96" s="300"/>
      <c r="D96" s="297"/>
      <c r="E96" s="297"/>
      <c r="F96" s="297"/>
      <c r="G96" s="297"/>
      <c r="H96" s="301"/>
    </row>
    <row r="97" spans="1:8" ht="14.1" customHeight="1">
      <c r="A97" s="302">
        <f>A94</f>
        <v>520</v>
      </c>
      <c r="B97" s="302" t="str">
        <f>B94</f>
        <v>Banques cpte en monnaie nationale</v>
      </c>
      <c r="C97" s="303"/>
      <c r="D97" s="303">
        <f>B95</f>
        <v>774</v>
      </c>
      <c r="E97" s="303" t="str">
        <f>C95</f>
        <v>Revenus de titres de placement</v>
      </c>
      <c r="F97" s="303"/>
      <c r="G97" s="303"/>
      <c r="H97" s="320">
        <f>G94</f>
        <v>500000</v>
      </c>
    </row>
    <row r="98" spans="1:8" ht="14.1" customHeight="1">
      <c r="A98" s="71"/>
      <c r="B98" s="69"/>
      <c r="C98" s="93"/>
      <c r="D98" s="83"/>
      <c r="E98" s="83"/>
      <c r="F98" s="83"/>
      <c r="G98" s="93"/>
      <c r="H98" s="93"/>
    </row>
    <row r="100" spans="1:8" ht="14.1" customHeight="1">
      <c r="A100" s="1221" t="s">
        <v>1203</v>
      </c>
      <c r="B100" s="1222"/>
      <c r="C100" s="308"/>
      <c r="D100" s="308"/>
      <c r="E100" s="308"/>
      <c r="F100" s="308"/>
      <c r="G100" s="308"/>
      <c r="H100" s="309"/>
    </row>
    <row r="101" spans="1:8" ht="14.1" customHeight="1">
      <c r="A101" s="347"/>
      <c r="B101" s="83"/>
      <c r="C101" s="83"/>
      <c r="D101" s="83"/>
      <c r="E101" s="83"/>
      <c r="F101" s="83"/>
      <c r="G101" s="83"/>
      <c r="H101" s="318"/>
    </row>
    <row r="102" spans="1:8" ht="14.1" customHeight="1">
      <c r="A102" s="348"/>
      <c r="B102" s="83" t="s">
        <v>677</v>
      </c>
      <c r="C102" s="242">
        <v>2000</v>
      </c>
      <c r="D102" s="83"/>
      <c r="E102" s="83"/>
      <c r="F102" s="83"/>
      <c r="G102" s="83"/>
      <c r="H102" s="318"/>
    </row>
    <row r="103" spans="1:8" ht="14.1" customHeight="1">
      <c r="A103" s="347"/>
      <c r="B103" s="83" t="s">
        <v>678</v>
      </c>
      <c r="C103" s="242">
        <v>10000</v>
      </c>
      <c r="D103" s="83"/>
      <c r="E103" s="83"/>
      <c r="F103" s="83"/>
      <c r="G103" s="83"/>
      <c r="H103" s="318"/>
    </row>
    <row r="104" spans="1:8" ht="14.1" customHeight="1">
      <c r="A104" s="347"/>
      <c r="B104" s="83" t="s">
        <v>679</v>
      </c>
      <c r="C104" s="244">
        <v>0.02</v>
      </c>
      <c r="D104" s="83"/>
      <c r="E104" s="83"/>
      <c r="F104" s="83"/>
      <c r="G104" s="83"/>
      <c r="H104" s="318"/>
    </row>
    <row r="105" spans="1:8" ht="14.1" customHeight="1">
      <c r="A105" s="347"/>
      <c r="B105" s="83" t="s">
        <v>43</v>
      </c>
      <c r="C105" s="83">
        <f>C102*C103</f>
        <v>20000000</v>
      </c>
      <c r="D105" s="83"/>
      <c r="E105" s="83"/>
      <c r="F105" s="83"/>
      <c r="G105" s="83"/>
      <c r="H105" s="318"/>
    </row>
    <row r="106" spans="1:8" ht="14.1" customHeight="1">
      <c r="A106" s="347"/>
      <c r="B106" s="83"/>
      <c r="C106" s="83"/>
      <c r="D106" s="83"/>
      <c r="E106" s="83"/>
      <c r="F106" s="83"/>
      <c r="G106" s="83"/>
      <c r="H106" s="318"/>
    </row>
    <row r="107" spans="1:8" ht="14.1" customHeight="1">
      <c r="A107" s="310" t="s">
        <v>680</v>
      </c>
      <c r="B107" s="65"/>
      <c r="C107" s="65"/>
      <c r="D107" s="83"/>
      <c r="E107" s="83"/>
      <c r="F107" s="83"/>
      <c r="G107" s="65"/>
      <c r="H107" s="314"/>
    </row>
    <row r="108" spans="1:8" ht="14.1" customHeight="1">
      <c r="A108" s="306">
        <v>501</v>
      </c>
      <c r="B108" s="70" t="s">
        <v>341</v>
      </c>
      <c r="C108" s="65"/>
      <c r="D108" s="83"/>
      <c r="E108" s="83"/>
      <c r="F108" s="83"/>
      <c r="G108" s="65">
        <f>C105</f>
        <v>20000000</v>
      </c>
      <c r="H108" s="314"/>
    </row>
    <row r="109" spans="1:8" ht="14.1" customHeight="1">
      <c r="A109" s="295">
        <v>6740</v>
      </c>
      <c r="B109" s="69" t="s">
        <v>1201</v>
      </c>
      <c r="C109" s="93"/>
      <c r="D109" s="83"/>
      <c r="E109" s="83"/>
      <c r="F109" s="83"/>
      <c r="G109" s="93">
        <f>C105*C104</f>
        <v>400000</v>
      </c>
      <c r="H109" s="772"/>
    </row>
    <row r="110" spans="1:8" ht="14.1" customHeight="1">
      <c r="A110" s="307">
        <v>44522</v>
      </c>
      <c r="B110" s="65" t="s">
        <v>488</v>
      </c>
      <c r="C110" s="245">
        <v>0.185</v>
      </c>
      <c r="D110" s="83"/>
      <c r="E110" s="83"/>
      <c r="F110" s="83"/>
      <c r="G110" s="93">
        <f>G109*C110</f>
        <v>74000</v>
      </c>
      <c r="H110" s="772"/>
    </row>
    <row r="111" spans="1:8" ht="14.1" customHeight="1">
      <c r="A111" s="778"/>
      <c r="B111" s="68">
        <v>520</v>
      </c>
      <c r="C111" s="70" t="s">
        <v>170</v>
      </c>
      <c r="D111" s="83"/>
      <c r="E111" s="83"/>
      <c r="F111" s="83"/>
      <c r="G111" s="65"/>
      <c r="H111" s="314">
        <f>SUM(G108:G110)</f>
        <v>20474000</v>
      </c>
    </row>
    <row r="112" spans="1:8" ht="14.1" customHeight="1">
      <c r="A112" s="271" t="s">
        <v>1111</v>
      </c>
      <c r="B112" s="299"/>
      <c r="C112" s="300"/>
      <c r="D112" s="297"/>
      <c r="E112" s="297"/>
      <c r="F112" s="297"/>
      <c r="G112" s="297"/>
      <c r="H112" s="301"/>
    </row>
    <row r="113" spans="1:8" ht="14.1" customHeight="1">
      <c r="A113" s="298">
        <f>A108</f>
        <v>501</v>
      </c>
      <c r="B113" s="298" t="str">
        <f>B108</f>
        <v>VMP actions</v>
      </c>
      <c r="C113" s="297"/>
      <c r="D113" s="297">
        <f>B111</f>
        <v>520</v>
      </c>
      <c r="E113" s="297" t="str">
        <f>C111</f>
        <v>Banques cpte en monnaie nationale</v>
      </c>
      <c r="F113" s="297"/>
      <c r="G113" s="297"/>
      <c r="H113" s="301">
        <f>G108</f>
        <v>20000000</v>
      </c>
    </row>
    <row r="114" spans="1:8" ht="14.1" customHeight="1">
      <c r="A114" s="302">
        <f>A109</f>
        <v>6740</v>
      </c>
      <c r="B114" s="302" t="str">
        <f>B109</f>
        <v>Autres charges financières et intérêts</v>
      </c>
      <c r="C114" s="304"/>
      <c r="D114" s="303">
        <f>D113</f>
        <v>520</v>
      </c>
      <c r="E114" s="303" t="str">
        <f>E113</f>
        <v>Banques cpte en monnaie nationale</v>
      </c>
      <c r="F114" s="304"/>
      <c r="G114" s="304"/>
      <c r="H114" s="305">
        <f>G109+G110</f>
        <v>474000</v>
      </c>
    </row>
    <row r="115" spans="1:8" ht="14.1" customHeight="1">
      <c r="A115" s="778"/>
      <c r="B115" s="71"/>
      <c r="C115" s="70"/>
      <c r="D115" s="83"/>
      <c r="E115" s="83"/>
      <c r="F115" s="83"/>
      <c r="G115" s="65"/>
      <c r="H115" s="314"/>
    </row>
    <row r="116" spans="1:8" ht="14.1" customHeight="1">
      <c r="A116" s="1223" t="s">
        <v>681</v>
      </c>
      <c r="B116" s="1224"/>
      <c r="C116" s="83"/>
      <c r="D116" s="83"/>
      <c r="E116" s="83"/>
      <c r="F116" s="83"/>
      <c r="G116" s="83"/>
      <c r="H116" s="318"/>
    </row>
    <row r="117" spans="1:8" ht="14.1" customHeight="1">
      <c r="A117" s="315"/>
      <c r="B117" s="635" t="s">
        <v>668</v>
      </c>
      <c r="C117" s="242">
        <v>2000</v>
      </c>
      <c r="D117" s="83"/>
      <c r="E117" s="83"/>
      <c r="F117" s="83"/>
      <c r="G117" s="83"/>
      <c r="H117" s="318"/>
    </row>
    <row r="118" spans="1:8" ht="14.1" customHeight="1">
      <c r="A118" s="315"/>
      <c r="B118" s="635" t="s">
        <v>669</v>
      </c>
      <c r="C118" s="242">
        <v>12000</v>
      </c>
      <c r="D118" s="83"/>
      <c r="E118" s="83"/>
      <c r="F118" s="83"/>
      <c r="G118" s="83"/>
      <c r="H118" s="318"/>
    </row>
    <row r="119" spans="1:8" ht="14.1" customHeight="1">
      <c r="A119" s="315"/>
      <c r="B119" s="83" t="s">
        <v>671</v>
      </c>
      <c r="C119" s="83">
        <f>C117*C118</f>
        <v>24000000</v>
      </c>
      <c r="D119" s="83"/>
      <c r="E119" s="83"/>
      <c r="F119" s="83"/>
      <c r="G119" s="83"/>
      <c r="H119" s="318"/>
    </row>
    <row r="120" spans="1:8" ht="14.1" customHeight="1">
      <c r="A120" s="347"/>
      <c r="B120" s="89" t="str">
        <f>IF(C119&lt;C105,"Vous devez comptatbiliser une  perte","Vous devez comptabiliser un gain")</f>
        <v>Vous devez comptabiliser un gain</v>
      </c>
      <c r="C120" s="83"/>
      <c r="D120" s="83"/>
      <c r="E120" s="83"/>
      <c r="F120" s="83"/>
      <c r="G120" s="83"/>
      <c r="H120" s="318"/>
    </row>
    <row r="121" spans="1:8" ht="14.1" customHeight="1">
      <c r="A121" s="310" t="s">
        <v>682</v>
      </c>
      <c r="B121" s="65"/>
      <c r="C121" s="65"/>
      <c r="D121" s="83"/>
      <c r="E121" s="83"/>
      <c r="F121" s="83"/>
      <c r="G121" s="65"/>
      <c r="H121" s="314"/>
    </row>
    <row r="122" spans="1:8" ht="14.1" customHeight="1">
      <c r="A122" s="605">
        <v>520</v>
      </c>
      <c r="B122" s="93" t="s">
        <v>170</v>
      </c>
      <c r="C122" s="93"/>
      <c r="D122" s="83"/>
      <c r="E122" s="83"/>
      <c r="F122" s="83"/>
      <c r="G122" s="93">
        <f>C119</f>
        <v>24000000</v>
      </c>
      <c r="H122" s="772"/>
    </row>
    <row r="123" spans="1:8" ht="14.1" customHeight="1">
      <c r="A123" s="347"/>
      <c r="B123" s="71">
        <v>777</v>
      </c>
      <c r="C123" s="69" t="s">
        <v>465</v>
      </c>
      <c r="D123" s="83"/>
      <c r="E123" s="83"/>
      <c r="F123" s="83"/>
      <c r="G123" s="93"/>
      <c r="H123" s="772">
        <f>C119-C105</f>
        <v>4000000</v>
      </c>
    </row>
    <row r="124" spans="1:8" ht="14.1" customHeight="1">
      <c r="A124" s="347"/>
      <c r="B124" s="65">
        <v>501</v>
      </c>
      <c r="C124" s="65" t="s">
        <v>341</v>
      </c>
      <c r="D124" s="83"/>
      <c r="E124" s="83"/>
      <c r="F124" s="83"/>
      <c r="G124" s="65"/>
      <c r="H124" s="314">
        <f>C105</f>
        <v>20000000</v>
      </c>
    </row>
    <row r="125" spans="1:8" ht="14.1" customHeight="1">
      <c r="A125" s="271" t="s">
        <v>1111</v>
      </c>
      <c r="B125" s="299"/>
      <c r="C125" s="300"/>
      <c r="D125" s="297"/>
      <c r="E125" s="297"/>
      <c r="F125" s="297"/>
      <c r="G125" s="297"/>
      <c r="H125" s="301"/>
    </row>
    <row r="126" spans="1:8" ht="14.1" customHeight="1">
      <c r="A126" s="298">
        <f>A122</f>
        <v>520</v>
      </c>
      <c r="B126" s="297" t="str">
        <f>B122</f>
        <v>Banques cpte en monnaie nationale</v>
      </c>
      <c r="C126" s="297"/>
      <c r="D126" s="297">
        <f>B123</f>
        <v>777</v>
      </c>
      <c r="E126" s="297" t="str">
        <f>C123</f>
        <v>Gains Cessions titres placement</v>
      </c>
      <c r="F126" s="297"/>
      <c r="G126" s="297"/>
      <c r="H126" s="301">
        <f>H123</f>
        <v>4000000</v>
      </c>
    </row>
    <row r="127" spans="1:8" ht="14.1" customHeight="1">
      <c r="A127" s="302">
        <f>A126</f>
        <v>520</v>
      </c>
      <c r="B127" s="302" t="str">
        <f>B126</f>
        <v>Banques cpte en monnaie nationale</v>
      </c>
      <c r="C127" s="304"/>
      <c r="D127" s="303">
        <f>B124</f>
        <v>501</v>
      </c>
      <c r="E127" s="303" t="str">
        <f>C124</f>
        <v>VMP actions</v>
      </c>
      <c r="F127" s="304"/>
      <c r="G127" s="304"/>
      <c r="H127" s="301">
        <f>H124</f>
        <v>20000000</v>
      </c>
    </row>
    <row r="128" spans="1:8" ht="14.1" customHeight="1">
      <c r="A128" s="347"/>
      <c r="B128" s="65"/>
      <c r="C128" s="65"/>
      <c r="D128" s="83"/>
      <c r="E128" s="83"/>
      <c r="F128" s="83"/>
      <c r="G128" s="65"/>
      <c r="H128" s="314"/>
    </row>
    <row r="129" spans="1:8" ht="14.1" customHeight="1">
      <c r="A129" s="310" t="s">
        <v>683</v>
      </c>
      <c r="B129" s="65"/>
      <c r="C129" s="65"/>
      <c r="D129" s="83"/>
      <c r="E129" s="83"/>
      <c r="F129" s="83"/>
      <c r="G129" s="65"/>
      <c r="H129" s="314"/>
    </row>
    <row r="130" spans="1:8" ht="14.1" customHeight="1">
      <c r="A130" s="605">
        <v>520</v>
      </c>
      <c r="B130" s="93" t="s">
        <v>170</v>
      </c>
      <c r="C130" s="93"/>
      <c r="D130" s="83"/>
      <c r="E130" s="83"/>
      <c r="F130" s="83"/>
      <c r="G130" s="126">
        <f>C119</f>
        <v>24000000</v>
      </c>
      <c r="H130" s="772"/>
    </row>
    <row r="131" spans="1:8" ht="14.1" customHeight="1">
      <c r="A131" s="295">
        <v>6770</v>
      </c>
      <c r="B131" s="69" t="s">
        <v>415</v>
      </c>
      <c r="C131" s="93"/>
      <c r="D131" s="83"/>
      <c r="E131" s="83"/>
      <c r="F131" s="83"/>
      <c r="G131" s="93">
        <f>C105-C119</f>
        <v>-4000000</v>
      </c>
      <c r="H131" s="772"/>
    </row>
    <row r="132" spans="1:8" ht="14.1" customHeight="1">
      <c r="A132" s="779"/>
      <c r="B132" s="66">
        <v>501</v>
      </c>
      <c r="C132" s="66" t="s">
        <v>341</v>
      </c>
      <c r="D132" s="67"/>
      <c r="E132" s="67"/>
      <c r="F132" s="67"/>
      <c r="G132" s="66"/>
      <c r="H132" s="317">
        <f>C105</f>
        <v>20000000</v>
      </c>
    </row>
    <row r="133" spans="1:8" ht="14.1" customHeight="1">
      <c r="A133" s="271" t="s">
        <v>1111</v>
      </c>
      <c r="B133" s="299"/>
      <c r="C133" s="300"/>
      <c r="D133" s="297"/>
      <c r="E133" s="297"/>
      <c r="F133" s="297"/>
      <c r="G133" s="297"/>
      <c r="H133" s="301"/>
    </row>
    <row r="134" spans="1:8" ht="14.1" customHeight="1">
      <c r="A134" s="298">
        <f>A130</f>
        <v>520</v>
      </c>
      <c r="B134" s="297" t="str">
        <f>B130</f>
        <v>Banques cpte en monnaie nationale</v>
      </c>
      <c r="C134" s="297"/>
      <c r="D134" s="297">
        <f>B132</f>
        <v>501</v>
      </c>
      <c r="E134" s="297" t="str">
        <f>C132</f>
        <v>VMP actions</v>
      </c>
      <c r="F134" s="297"/>
      <c r="G134" s="297"/>
      <c r="H134" s="301">
        <f>G130</f>
        <v>24000000</v>
      </c>
    </row>
    <row r="135" spans="1:8" ht="14.1" customHeight="1">
      <c r="A135" s="302">
        <f>A131</f>
        <v>6770</v>
      </c>
      <c r="B135" s="302" t="str">
        <f>B131</f>
        <v>Pertes sur cessions de titres placement</v>
      </c>
      <c r="C135" s="304"/>
      <c r="D135" s="303">
        <f>B132</f>
        <v>501</v>
      </c>
      <c r="E135" s="303" t="str">
        <f>C132</f>
        <v>VMP actions</v>
      </c>
      <c r="F135" s="304"/>
      <c r="G135" s="304"/>
      <c r="H135" s="320">
        <f>G131</f>
        <v>-4000000</v>
      </c>
    </row>
    <row r="136" spans="1:8" ht="14.1" customHeight="1">
      <c r="A136" s="83"/>
      <c r="B136" s="65"/>
      <c r="C136" s="65"/>
      <c r="D136" s="83"/>
      <c r="E136" s="83"/>
      <c r="F136" s="83"/>
      <c r="G136" s="65"/>
      <c r="H136" s="65"/>
    </row>
    <row r="137" spans="1:8" ht="14.1" customHeight="1">
      <c r="A137" s="65"/>
      <c r="B137" s="65"/>
      <c r="C137" s="65"/>
      <c r="G137" s="65"/>
      <c r="H137" s="65"/>
    </row>
    <row r="138" spans="1:8" ht="14.1" customHeight="1">
      <c r="A138" s="1221" t="s">
        <v>684</v>
      </c>
      <c r="B138" s="1222"/>
      <c r="C138" s="308"/>
      <c r="D138" s="308"/>
      <c r="E138" s="308"/>
      <c r="F138" s="308"/>
      <c r="G138" s="308"/>
      <c r="H138" s="309"/>
    </row>
    <row r="139" spans="1:8" ht="14.1" customHeight="1">
      <c r="A139" s="347"/>
      <c r="B139" s="83"/>
      <c r="C139" s="83"/>
      <c r="D139" s="83"/>
      <c r="E139" s="83"/>
      <c r="F139" s="83"/>
      <c r="G139" s="83"/>
      <c r="H139" s="318"/>
    </row>
    <row r="140" spans="1:8" ht="14.1" customHeight="1">
      <c r="A140" s="310" t="s">
        <v>685</v>
      </c>
      <c r="B140" s="65"/>
      <c r="C140" s="65"/>
      <c r="D140" s="83"/>
      <c r="E140" s="83"/>
      <c r="F140" s="83"/>
      <c r="G140" s="65" t="s">
        <v>595</v>
      </c>
      <c r="H140" s="314" t="s">
        <v>596</v>
      </c>
    </row>
    <row r="141" spans="1:8" ht="14.1" customHeight="1">
      <c r="A141" s="295">
        <v>520</v>
      </c>
      <c r="B141" s="70" t="s">
        <v>170</v>
      </c>
      <c r="C141" s="93"/>
      <c r="D141" s="83"/>
      <c r="E141" s="83"/>
      <c r="F141" s="83"/>
      <c r="G141" s="93">
        <f>H142</f>
        <v>500000</v>
      </c>
      <c r="H141" s="772"/>
    </row>
    <row r="142" spans="1:8" ht="14.1" customHeight="1">
      <c r="A142" s="347"/>
      <c r="B142" s="102">
        <v>774</v>
      </c>
      <c r="C142" s="76" t="s">
        <v>464</v>
      </c>
      <c r="D142" s="67"/>
      <c r="E142" s="67"/>
      <c r="F142" s="67"/>
      <c r="G142" s="96"/>
      <c r="H142" s="243">
        <v>500000</v>
      </c>
    </row>
    <row r="143" spans="1:8" ht="14.1" customHeight="1">
      <c r="A143" s="271" t="s">
        <v>1111</v>
      </c>
      <c r="B143" s="299"/>
      <c r="C143" s="300"/>
      <c r="D143" s="297"/>
      <c r="E143" s="297"/>
      <c r="F143" s="297"/>
      <c r="G143" s="297"/>
      <c r="H143" s="301"/>
    </row>
    <row r="144" spans="1:8" ht="14.1" customHeight="1">
      <c r="A144" s="302">
        <f>A141</f>
        <v>520</v>
      </c>
      <c r="B144" s="302" t="str">
        <f>B141</f>
        <v>Banques cpte en monnaie nationale</v>
      </c>
      <c r="C144" s="303"/>
      <c r="D144" s="303">
        <f>B142</f>
        <v>774</v>
      </c>
      <c r="E144" s="303" t="str">
        <f>C142</f>
        <v>Revenus de titres de placement</v>
      </c>
      <c r="F144" s="303"/>
      <c r="G144" s="303"/>
      <c r="H144" s="320">
        <f>G141</f>
        <v>500000</v>
      </c>
    </row>
    <row r="145" spans="1:8" ht="14.1" customHeight="1">
      <c r="A145" s="71"/>
      <c r="B145" s="69"/>
      <c r="C145" s="93"/>
      <c r="D145" s="83"/>
      <c r="E145" s="83"/>
      <c r="F145" s="83"/>
      <c r="G145" s="93"/>
      <c r="H145" s="93"/>
    </row>
    <row r="147" spans="1:8" ht="14.1" customHeight="1">
      <c r="A147" s="1229" t="s">
        <v>686</v>
      </c>
      <c r="B147" s="1230"/>
      <c r="C147" s="1226"/>
      <c r="D147" s="77"/>
      <c r="E147" s="77"/>
      <c r="F147" s="77"/>
      <c r="G147" s="77"/>
      <c r="H147" s="78"/>
    </row>
    <row r="148" spans="1:8" ht="14.1" customHeight="1">
      <c r="A148" s="64"/>
      <c r="B148" s="65"/>
      <c r="C148" s="65"/>
      <c r="D148" s="65"/>
      <c r="E148" s="83"/>
      <c r="F148" s="83"/>
      <c r="G148" s="65"/>
      <c r="H148" s="86"/>
    </row>
    <row r="149" spans="1:8" ht="14.1" customHeight="1">
      <c r="A149" s="98">
        <v>4091</v>
      </c>
      <c r="B149" s="87" t="s">
        <v>282</v>
      </c>
      <c r="C149" s="65"/>
      <c r="D149" s="65"/>
      <c r="G149" s="246">
        <v>1000</v>
      </c>
      <c r="H149" s="86"/>
    </row>
    <row r="150" spans="1:8" ht="14.1" customHeight="1">
      <c r="A150" s="64"/>
      <c r="B150" s="71">
        <v>520</v>
      </c>
      <c r="C150" s="70" t="s">
        <v>170</v>
      </c>
      <c r="D150" s="65"/>
      <c r="G150" s="65"/>
      <c r="H150" s="86">
        <f>G149</f>
        <v>1000</v>
      </c>
    </row>
    <row r="151" spans="1:8" ht="14.1" customHeight="1">
      <c r="A151" s="271" t="s">
        <v>1111</v>
      </c>
      <c r="B151" s="299"/>
      <c r="C151" s="300"/>
      <c r="D151" s="297"/>
      <c r="E151" s="297"/>
      <c r="F151" s="297"/>
      <c r="G151" s="297"/>
      <c r="H151" s="301"/>
    </row>
    <row r="152" spans="1:8" ht="14.1" customHeight="1">
      <c r="A152" s="298">
        <f>A149</f>
        <v>4091</v>
      </c>
      <c r="B152" s="298" t="str">
        <f>B149</f>
        <v>Fournisseurs avances et acomptes versés</v>
      </c>
      <c r="C152" s="297"/>
      <c r="D152" s="297">
        <f>B150</f>
        <v>520</v>
      </c>
      <c r="E152" s="297" t="str">
        <f>C150</f>
        <v>Banques cpte en monnaie nationale</v>
      </c>
      <c r="F152" s="297"/>
      <c r="G152" s="297"/>
      <c r="H152" s="301">
        <f>G149</f>
        <v>1000</v>
      </c>
    </row>
    <row r="153" spans="1:8" ht="14.1" customHeight="1">
      <c r="A153" s="85"/>
      <c r="B153" s="103"/>
      <c r="C153" s="83"/>
      <c r="D153" s="83"/>
      <c r="G153" s="83"/>
      <c r="H153" s="84"/>
    </row>
    <row r="154" spans="1:8" ht="14.1" customHeight="1">
      <c r="A154" s="85"/>
      <c r="B154" s="103"/>
      <c r="C154" s="83"/>
      <c r="D154" s="83"/>
      <c r="G154" s="83"/>
      <c r="H154" s="84"/>
    </row>
    <row r="155" spans="1:8" ht="14.1" customHeight="1">
      <c r="A155" s="64"/>
      <c r="B155" s="65"/>
      <c r="C155" s="65"/>
      <c r="D155" s="65"/>
      <c r="G155" s="65"/>
      <c r="H155" s="86"/>
    </row>
    <row r="156" spans="1:8" ht="14.1" customHeight="1">
      <c r="A156" s="64"/>
      <c r="B156" s="65"/>
      <c r="C156" s="65" t="s">
        <v>687</v>
      </c>
      <c r="D156" s="246">
        <v>25000</v>
      </c>
      <c r="G156" s="65"/>
      <c r="H156" s="86"/>
    </row>
    <row r="157" spans="1:8" ht="14.1" customHeight="1">
      <c r="A157" s="64"/>
      <c r="B157" s="65"/>
      <c r="C157" s="65" t="s">
        <v>688</v>
      </c>
      <c r="D157" s="246">
        <v>1500</v>
      </c>
      <c r="G157" s="65"/>
      <c r="H157" s="86"/>
    </row>
    <row r="158" spans="1:8" ht="14.1" customHeight="1">
      <c r="A158" s="64"/>
      <c r="B158" s="65"/>
      <c r="C158" s="65" t="s">
        <v>689</v>
      </c>
      <c r="D158" s="65">
        <f>D156+D157</f>
        <v>26500</v>
      </c>
      <c r="G158" s="65"/>
      <c r="H158" s="86"/>
    </row>
    <row r="159" spans="1:8" ht="14.1" customHeight="1">
      <c r="A159" s="64"/>
      <c r="B159" s="65"/>
      <c r="C159" s="65" t="s">
        <v>690</v>
      </c>
      <c r="D159" s="247">
        <v>0.1</v>
      </c>
      <c r="G159" s="65"/>
      <c r="H159" s="86"/>
    </row>
    <row r="160" spans="1:8" ht="14.1" customHeight="1">
      <c r="A160" s="64"/>
      <c r="B160" s="65"/>
      <c r="C160" s="65" t="s">
        <v>691</v>
      </c>
      <c r="D160" s="65">
        <f>D158*(1-D159)</f>
        <v>23850</v>
      </c>
      <c r="G160" s="65"/>
      <c r="H160" s="86"/>
    </row>
    <row r="161" spans="1:8" ht="14.1" customHeight="1">
      <c r="A161" s="64"/>
      <c r="B161" s="65"/>
      <c r="C161" s="65" t="s">
        <v>11</v>
      </c>
      <c r="D161" s="245">
        <v>0.185</v>
      </c>
      <c r="G161" s="65"/>
      <c r="H161" s="86"/>
    </row>
    <row r="162" spans="1:8" ht="14.1" customHeight="1">
      <c r="A162" s="64"/>
      <c r="B162" s="65"/>
      <c r="C162" s="65" t="s">
        <v>692</v>
      </c>
      <c r="D162" s="65">
        <f>D160*(1+D161)</f>
        <v>28262.25</v>
      </c>
      <c r="G162" s="65"/>
      <c r="H162" s="86"/>
    </row>
    <row r="163" spans="1:8" ht="14.1" customHeight="1">
      <c r="A163" s="64"/>
      <c r="B163" s="65"/>
      <c r="C163" s="65" t="s">
        <v>693</v>
      </c>
      <c r="D163" s="65">
        <f>H150</f>
        <v>1000</v>
      </c>
      <c r="G163" s="65"/>
      <c r="H163" s="86"/>
    </row>
    <row r="164" spans="1:8" ht="14.1" customHeight="1">
      <c r="A164" s="64"/>
      <c r="B164" s="65"/>
      <c r="C164" s="65" t="s">
        <v>694</v>
      </c>
      <c r="D164" s="65">
        <f>D162-D163</f>
        <v>27262.25</v>
      </c>
      <c r="G164" s="65"/>
      <c r="H164" s="86"/>
    </row>
    <row r="165" spans="1:8" ht="14.1" customHeight="1">
      <c r="A165" s="88" t="s">
        <v>695</v>
      </c>
      <c r="B165" s="65"/>
      <c r="C165" s="65"/>
      <c r="D165" s="65"/>
      <c r="G165" s="65"/>
      <c r="H165" s="86"/>
    </row>
    <row r="166" spans="1:8" ht="14.1" customHeight="1">
      <c r="A166" s="64">
        <v>241</v>
      </c>
      <c r="B166" s="65" t="s">
        <v>696</v>
      </c>
      <c r="D166" s="65"/>
      <c r="G166" s="65">
        <f>D160</f>
        <v>23850</v>
      </c>
      <c r="H166" s="86"/>
    </row>
    <row r="167" spans="1:8" ht="14.1" customHeight="1">
      <c r="A167" s="64">
        <v>44512</v>
      </c>
      <c r="B167" s="63" t="s">
        <v>486</v>
      </c>
      <c r="D167" s="251">
        <f>D161</f>
        <v>0.185</v>
      </c>
      <c r="G167" s="65">
        <f>SUM(H168:H169)*D167/(1+D167)</f>
        <v>4412.2499999999991</v>
      </c>
      <c r="H167" s="86"/>
    </row>
    <row r="168" spans="1:8" ht="14.1" customHeight="1">
      <c r="A168" s="64"/>
      <c r="B168" s="65">
        <v>4091</v>
      </c>
      <c r="C168" s="65" t="s">
        <v>496</v>
      </c>
      <c r="D168" s="65"/>
      <c r="G168" s="65"/>
      <c r="H168" s="86">
        <f>H150</f>
        <v>1000</v>
      </c>
    </row>
    <row r="169" spans="1:8" ht="14.1" customHeight="1">
      <c r="A169" s="91"/>
      <c r="B169" s="104">
        <v>4011</v>
      </c>
      <c r="C169" s="105" t="s">
        <v>276</v>
      </c>
      <c r="D169" s="66"/>
      <c r="E169" s="67"/>
      <c r="F169" s="67"/>
      <c r="G169" s="66"/>
      <c r="H169" s="101">
        <f>D164</f>
        <v>27262.25</v>
      </c>
    </row>
    <row r="170" spans="1:8" ht="14.1" customHeight="1">
      <c r="A170" s="271" t="s">
        <v>1111</v>
      </c>
      <c r="B170" s="299"/>
      <c r="C170" s="300"/>
      <c r="D170" s="297"/>
      <c r="E170" s="297"/>
      <c r="F170" s="297"/>
      <c r="G170" s="297"/>
      <c r="H170" s="301"/>
    </row>
    <row r="171" spans="1:8" ht="14.1" customHeight="1">
      <c r="A171" s="298">
        <f>A166</f>
        <v>241</v>
      </c>
      <c r="B171" s="298" t="str">
        <f>B166</f>
        <v>Matériel industriel</v>
      </c>
      <c r="C171" s="297"/>
      <c r="D171" s="297">
        <f>B169</f>
        <v>4011</v>
      </c>
      <c r="E171" s="297" t="str">
        <f>C169</f>
        <v>Fournisseurs</v>
      </c>
      <c r="F171" s="297"/>
      <c r="G171" s="297"/>
      <c r="H171" s="301">
        <f>D162</f>
        <v>28262.25</v>
      </c>
    </row>
    <row r="172" spans="1:8" ht="14.1" customHeight="1">
      <c r="A172" s="271" t="s">
        <v>802</v>
      </c>
      <c r="B172" s="274"/>
      <c r="C172" s="274"/>
      <c r="D172" s="274"/>
      <c r="E172" s="274"/>
      <c r="F172" s="274"/>
      <c r="G172" s="274"/>
      <c r="H172" s="275"/>
    </row>
    <row r="173" spans="1:8" ht="14.1" customHeight="1">
      <c r="A173" s="271">
        <f>D171</f>
        <v>4011</v>
      </c>
      <c r="B173" s="274" t="str">
        <f>E171</f>
        <v>Fournisseurs</v>
      </c>
      <c r="C173" s="274"/>
      <c r="D173" s="274">
        <f>D152</f>
        <v>520</v>
      </c>
      <c r="E173" s="274" t="str">
        <f t="shared" ref="E173" si="1">E152</f>
        <v>Banques cpte en monnaie nationale</v>
      </c>
      <c r="F173" s="274"/>
      <c r="G173" s="274"/>
      <c r="H173" s="275">
        <f>H169</f>
        <v>27262.25</v>
      </c>
    </row>
    <row r="174" spans="1:8" ht="14.1" customHeight="1">
      <c r="A174" s="276">
        <f>A173</f>
        <v>4011</v>
      </c>
      <c r="B174" s="277" t="str">
        <f>B173</f>
        <v>Fournisseurs</v>
      </c>
      <c r="C174" s="277"/>
      <c r="D174" s="277">
        <f>A152</f>
        <v>4091</v>
      </c>
      <c r="E174" s="277" t="str">
        <f>B152</f>
        <v>Fournisseurs avances et acomptes versés</v>
      </c>
      <c r="F174" s="277"/>
      <c r="G174" s="277"/>
      <c r="H174" s="278">
        <f>H168</f>
        <v>1000</v>
      </c>
    </row>
    <row r="175" spans="1:8" ht="14.1" customHeight="1">
      <c r="A175" s="65"/>
      <c r="B175" s="90"/>
      <c r="C175" s="268"/>
      <c r="D175" s="65"/>
      <c r="E175" s="83"/>
      <c r="F175" s="83"/>
      <c r="G175" s="65"/>
      <c r="H175" s="65"/>
    </row>
    <row r="177" spans="1:8" ht="14.1" customHeight="1">
      <c r="A177" s="1221" t="s">
        <v>697</v>
      </c>
      <c r="B177" s="1231"/>
      <c r="C177" s="312"/>
      <c r="D177" s="312"/>
      <c r="E177" s="308"/>
      <c r="F177" s="308"/>
      <c r="G177" s="312"/>
      <c r="H177" s="313"/>
    </row>
    <row r="178" spans="1:8" ht="14.1" customHeight="1">
      <c r="A178" s="307"/>
      <c r="B178" s="65"/>
      <c r="C178" s="83" t="s">
        <v>698</v>
      </c>
      <c r="D178" s="242">
        <v>25000000</v>
      </c>
      <c r="E178" s="83"/>
      <c r="F178" s="83"/>
      <c r="G178" s="65"/>
      <c r="H178" s="314"/>
    </row>
    <row r="179" spans="1:8" ht="14.1" customHeight="1">
      <c r="A179" s="307"/>
      <c r="B179" s="65"/>
      <c r="C179" s="83" t="s">
        <v>699</v>
      </c>
      <c r="D179" s="242">
        <v>1500000</v>
      </c>
      <c r="E179" s="83"/>
      <c r="F179" s="83"/>
      <c r="G179" s="65"/>
      <c r="H179" s="314"/>
    </row>
    <row r="180" spans="1:8" ht="14.1" customHeight="1">
      <c r="A180" s="307"/>
      <c r="B180" s="65"/>
      <c r="C180" s="83" t="s">
        <v>700</v>
      </c>
      <c r="D180" s="242">
        <v>500000</v>
      </c>
      <c r="E180" s="83"/>
      <c r="F180" s="83"/>
      <c r="G180" s="65"/>
      <c r="H180" s="314"/>
    </row>
    <row r="181" spans="1:8" ht="14.1" customHeight="1">
      <c r="A181" s="307"/>
      <c r="B181" s="65"/>
      <c r="C181" s="65" t="s">
        <v>43</v>
      </c>
      <c r="D181" s="65">
        <f>SUM(D178:D180)</f>
        <v>27000000</v>
      </c>
      <c r="E181" s="83"/>
      <c r="F181" s="83"/>
      <c r="G181" s="65"/>
      <c r="H181" s="314"/>
    </row>
    <row r="182" spans="1:8" ht="14.1" customHeight="1">
      <c r="A182" s="307"/>
      <c r="B182" s="65"/>
      <c r="C182" s="65"/>
      <c r="D182" s="65"/>
      <c r="E182" s="83"/>
      <c r="F182" s="83"/>
      <c r="G182" s="65"/>
      <c r="H182" s="314"/>
    </row>
    <row r="183" spans="1:8" ht="14.1" customHeight="1">
      <c r="A183" s="315" t="s">
        <v>695</v>
      </c>
      <c r="B183" s="103"/>
      <c r="C183" s="65"/>
      <c r="D183" s="65"/>
      <c r="E183" s="83"/>
      <c r="F183" s="83"/>
      <c r="G183" s="65"/>
      <c r="H183" s="314"/>
    </row>
    <row r="184" spans="1:8" ht="14.1" customHeight="1">
      <c r="A184" s="306">
        <v>221</v>
      </c>
      <c r="B184" s="74" t="s">
        <v>301</v>
      </c>
      <c r="C184" s="65"/>
      <c r="D184" s="65"/>
      <c r="E184" s="83"/>
      <c r="F184" s="83"/>
      <c r="G184" s="65">
        <f>D178</f>
        <v>25000000</v>
      </c>
      <c r="H184" s="314"/>
    </row>
    <row r="185" spans="1:8" ht="14.1" customHeight="1">
      <c r="A185" s="296">
        <v>6324</v>
      </c>
      <c r="B185" s="268" t="s">
        <v>398</v>
      </c>
      <c r="C185" s="65"/>
      <c r="D185" s="65"/>
      <c r="E185" s="83"/>
      <c r="F185" s="83"/>
      <c r="G185" s="65">
        <f t="shared" ref="G185:G186" si="2">D179</f>
        <v>1500000</v>
      </c>
      <c r="H185" s="314"/>
    </row>
    <row r="186" spans="1:8" ht="14.1" customHeight="1">
      <c r="A186" s="296">
        <v>6350</v>
      </c>
      <c r="B186" s="268" t="s">
        <v>402</v>
      </c>
      <c r="C186" s="65"/>
      <c r="D186" s="65"/>
      <c r="E186" s="83"/>
      <c r="F186" s="83"/>
      <c r="G186" s="65">
        <f t="shared" si="2"/>
        <v>500000</v>
      </c>
      <c r="H186" s="314"/>
    </row>
    <row r="187" spans="1:8" ht="14.1" customHeight="1">
      <c r="A187" s="307">
        <v>44522</v>
      </c>
      <c r="B187" s="65" t="s">
        <v>488</v>
      </c>
      <c r="C187" s="65"/>
      <c r="D187" s="245">
        <v>0.185</v>
      </c>
      <c r="E187" s="83"/>
      <c r="F187" s="83"/>
      <c r="G187" s="65">
        <f>D181*D187</f>
        <v>4995000</v>
      </c>
      <c r="H187" s="314"/>
    </row>
    <row r="188" spans="1:8" ht="14.1" customHeight="1">
      <c r="A188" s="316"/>
      <c r="B188" s="75">
        <v>520</v>
      </c>
      <c r="C188" s="106" t="s">
        <v>170</v>
      </c>
      <c r="D188" s="66"/>
      <c r="E188" s="67"/>
      <c r="F188" s="67"/>
      <c r="G188" s="66"/>
      <c r="H188" s="317">
        <f>SUM(G184:G187)</f>
        <v>31995000</v>
      </c>
    </row>
    <row r="189" spans="1:8" ht="14.1" customHeight="1">
      <c r="A189" s="271" t="s">
        <v>1111</v>
      </c>
      <c r="B189" s="272"/>
      <c r="C189" s="274"/>
      <c r="D189" s="274"/>
      <c r="E189" s="274"/>
      <c r="F189" s="274"/>
      <c r="G189" s="274"/>
      <c r="H189" s="275"/>
    </row>
    <row r="190" spans="1:8" ht="14.1" customHeight="1">
      <c r="A190" s="271">
        <f t="shared" ref="A190:B192" si="3">A184</f>
        <v>221</v>
      </c>
      <c r="B190" s="271" t="str">
        <f t="shared" si="3"/>
        <v>Terrains agricoles, forestiers, nu, bâtit</v>
      </c>
      <c r="C190" s="274"/>
      <c r="D190" s="274">
        <f>B188</f>
        <v>520</v>
      </c>
      <c r="E190" s="274" t="str">
        <f>C188</f>
        <v>Banques cpte en monnaie nationale</v>
      </c>
      <c r="F190" s="274"/>
      <c r="G190" s="274"/>
      <c r="H190" s="275">
        <f>G184*(1+D187)</f>
        <v>29625000</v>
      </c>
    </row>
    <row r="191" spans="1:8" ht="14.1" customHeight="1">
      <c r="A191" s="271">
        <f t="shared" si="3"/>
        <v>6324</v>
      </c>
      <c r="B191" s="271" t="str">
        <f t="shared" si="3"/>
        <v>Honoraires</v>
      </c>
      <c r="C191" s="274"/>
      <c r="D191" s="274">
        <f>D190</f>
        <v>520</v>
      </c>
      <c r="E191" s="274" t="str">
        <f t="shared" ref="E191:E192" si="4">E190</f>
        <v>Banques cpte en monnaie nationale</v>
      </c>
      <c r="F191" s="274"/>
      <c r="G191" s="274"/>
      <c r="H191" s="275">
        <f>G185*(1+D187)</f>
        <v>1777500</v>
      </c>
    </row>
    <row r="192" spans="1:8" ht="14.1" customHeight="1">
      <c r="A192" s="276">
        <f t="shared" si="3"/>
        <v>6350</v>
      </c>
      <c r="B192" s="276" t="str">
        <f t="shared" si="3"/>
        <v>Autres impôts, droit et autres enregistrements</v>
      </c>
      <c r="C192" s="277"/>
      <c r="D192" s="277">
        <f>D191</f>
        <v>520</v>
      </c>
      <c r="E192" s="277" t="str">
        <f t="shared" si="4"/>
        <v>Banques cpte en monnaie nationale</v>
      </c>
      <c r="F192" s="277"/>
      <c r="G192" s="277"/>
      <c r="H192" s="278">
        <f>G186*(1+D187)</f>
        <v>592500</v>
      </c>
    </row>
    <row r="195" spans="1:8" ht="14.1" customHeight="1">
      <c r="A195" s="1232" t="s">
        <v>701</v>
      </c>
      <c r="B195" s="1233"/>
      <c r="C195" s="1233" t="s">
        <v>702</v>
      </c>
      <c r="D195" s="312"/>
      <c r="E195" s="308"/>
      <c r="F195" s="308"/>
      <c r="G195" s="312"/>
      <c r="H195" s="313"/>
    </row>
    <row r="196" spans="1:8" ht="14.1" customHeight="1">
      <c r="A196" s="307"/>
      <c r="B196" s="65"/>
      <c r="C196" s="83" t="s">
        <v>703</v>
      </c>
      <c r="D196" s="83"/>
      <c r="E196" s="83"/>
      <c r="F196" s="83"/>
      <c r="G196" s="65"/>
      <c r="H196" s="314"/>
    </row>
    <row r="197" spans="1:8" ht="14.1" customHeight="1">
      <c r="A197" s="307"/>
      <c r="B197" s="65"/>
      <c r="C197" s="83" t="s">
        <v>704</v>
      </c>
      <c r="D197" s="242">
        <v>1000000</v>
      </c>
      <c r="E197" s="83"/>
      <c r="F197" s="83"/>
      <c r="G197" s="65"/>
      <c r="H197" s="314"/>
    </row>
    <row r="198" spans="1:8" ht="14.1" customHeight="1">
      <c r="A198" s="307"/>
      <c r="B198" s="65"/>
      <c r="C198" s="83" t="s">
        <v>705</v>
      </c>
      <c r="D198" s="242">
        <v>3000000</v>
      </c>
      <c r="E198" s="83"/>
      <c r="F198" s="83"/>
      <c r="G198" s="65"/>
      <c r="H198" s="314"/>
    </row>
    <row r="199" spans="1:8" ht="14.1" customHeight="1">
      <c r="A199" s="307"/>
      <c r="B199" s="65"/>
      <c r="C199" s="83" t="s">
        <v>706</v>
      </c>
      <c r="D199" s="244">
        <v>0.05</v>
      </c>
      <c r="E199" s="83"/>
      <c r="F199" s="83"/>
      <c r="G199" s="65"/>
      <c r="H199" s="314"/>
    </row>
    <row r="200" spans="1:8" ht="14.1" customHeight="1">
      <c r="A200" s="307"/>
      <c r="B200" s="65"/>
      <c r="C200" s="83" t="s">
        <v>707</v>
      </c>
      <c r="D200" s="242">
        <v>50000</v>
      </c>
      <c r="E200" s="83"/>
      <c r="F200" s="83"/>
      <c r="G200" s="65"/>
      <c r="H200" s="314"/>
    </row>
    <row r="201" spans="1:8" ht="14.1" customHeight="1">
      <c r="A201" s="307"/>
      <c r="B201" s="65"/>
      <c r="C201" s="83" t="s">
        <v>708</v>
      </c>
      <c r="D201" s="242">
        <v>20000</v>
      </c>
      <c r="E201" s="83"/>
      <c r="F201" s="83"/>
      <c r="G201" s="65"/>
      <c r="H201" s="314"/>
    </row>
    <row r="202" spans="1:8" ht="14.1" customHeight="1">
      <c r="A202" s="307"/>
      <c r="B202" s="65"/>
      <c r="C202" s="83" t="s">
        <v>709</v>
      </c>
      <c r="D202" s="242">
        <v>200000</v>
      </c>
      <c r="E202" s="83"/>
      <c r="F202" s="83"/>
      <c r="G202" s="65"/>
      <c r="H202" s="314"/>
    </row>
    <row r="203" spans="1:8" ht="14.1" customHeight="1">
      <c r="A203" s="307"/>
      <c r="B203" s="65"/>
      <c r="C203" s="83" t="s">
        <v>710</v>
      </c>
      <c r="D203" s="242">
        <v>50000</v>
      </c>
      <c r="E203" s="83"/>
      <c r="F203" s="83"/>
      <c r="G203" s="65"/>
      <c r="H203" s="314"/>
    </row>
    <row r="204" spans="1:8" ht="14.1" customHeight="1">
      <c r="A204" s="307"/>
      <c r="B204" s="65"/>
      <c r="C204" s="83" t="s">
        <v>11</v>
      </c>
      <c r="D204" s="248">
        <v>0.185</v>
      </c>
      <c r="E204" s="83"/>
      <c r="F204" s="83"/>
      <c r="G204" s="65"/>
      <c r="H204" s="314"/>
    </row>
    <row r="205" spans="1:8" ht="14.1" customHeight="1">
      <c r="A205" s="315" t="s">
        <v>711</v>
      </c>
      <c r="B205" s="103"/>
      <c r="C205" s="65"/>
      <c r="D205" s="65"/>
      <c r="E205" s="83"/>
      <c r="F205" s="83"/>
      <c r="G205" s="65"/>
      <c r="H205" s="314"/>
    </row>
    <row r="206" spans="1:8" ht="14.1" customHeight="1">
      <c r="A206" s="295">
        <v>244</v>
      </c>
      <c r="B206" s="69" t="s">
        <v>314</v>
      </c>
      <c r="C206" s="65"/>
      <c r="D206" s="65"/>
      <c r="E206" s="83"/>
      <c r="F206" s="83"/>
      <c r="G206" s="65">
        <f>SUM(D197:D198)*(1-D199)+D200</f>
        <v>3850000</v>
      </c>
      <c r="H206" s="314"/>
    </row>
    <row r="207" spans="1:8" ht="14.1" customHeight="1">
      <c r="A207" s="307">
        <v>44512</v>
      </c>
      <c r="B207" s="65" t="s">
        <v>486</v>
      </c>
      <c r="C207" s="65"/>
      <c r="D207" s="107">
        <v>0.185</v>
      </c>
      <c r="E207" s="83"/>
      <c r="F207" s="83"/>
      <c r="G207" s="65">
        <f>G206*D207</f>
        <v>712250</v>
      </c>
      <c r="H207" s="314"/>
    </row>
    <row r="208" spans="1:8" ht="14.1" customHeight="1">
      <c r="A208" s="296">
        <v>6055</v>
      </c>
      <c r="B208" s="268" t="s">
        <v>365</v>
      </c>
      <c r="C208" s="65"/>
      <c r="D208" s="65"/>
      <c r="E208" s="83"/>
      <c r="F208" s="83"/>
      <c r="G208" s="65">
        <f>D201</f>
        <v>20000</v>
      </c>
      <c r="H208" s="314"/>
    </row>
    <row r="209" spans="1:8" ht="14.1" customHeight="1">
      <c r="A209" s="296">
        <v>6064</v>
      </c>
      <c r="B209" s="268" t="s">
        <v>368</v>
      </c>
      <c r="C209" s="65"/>
      <c r="D209" s="65"/>
      <c r="E209" s="83"/>
      <c r="F209" s="83"/>
      <c r="G209" s="65">
        <f>SUM(D202:D203)</f>
        <v>250000</v>
      </c>
      <c r="H209" s="314"/>
    </row>
    <row r="210" spans="1:8" ht="14.1" customHeight="1">
      <c r="A210" s="307">
        <v>44522</v>
      </c>
      <c r="B210" s="65" t="s">
        <v>488</v>
      </c>
      <c r="C210" s="65"/>
      <c r="D210" s="107">
        <v>0.185</v>
      </c>
      <c r="E210" s="83"/>
      <c r="F210" s="83"/>
      <c r="G210" s="65">
        <f>G209*D210</f>
        <v>46250</v>
      </c>
      <c r="H210" s="314"/>
    </row>
    <row r="211" spans="1:8" ht="14.1" customHeight="1">
      <c r="A211" s="307"/>
      <c r="B211" s="90">
        <v>4011</v>
      </c>
      <c r="C211" s="268" t="s">
        <v>276</v>
      </c>
      <c r="D211" s="65"/>
      <c r="E211" s="83"/>
      <c r="F211" s="83"/>
      <c r="G211" s="65"/>
      <c r="H211" s="318">
        <f>SUM(G206:G210)</f>
        <v>4878500</v>
      </c>
    </row>
    <row r="212" spans="1:8" ht="14.1" customHeight="1">
      <c r="A212" s="271" t="s">
        <v>1111</v>
      </c>
      <c r="B212" s="299"/>
      <c r="C212" s="297"/>
      <c r="D212" s="297"/>
      <c r="E212" s="297"/>
      <c r="F212" s="297"/>
      <c r="G212" s="297"/>
      <c r="H212" s="301"/>
    </row>
    <row r="213" spans="1:8" ht="14.1" customHeight="1">
      <c r="A213" s="298">
        <f>A206</f>
        <v>244</v>
      </c>
      <c r="B213" s="297" t="str">
        <f>B206</f>
        <v>Matériel informatique, mobilier</v>
      </c>
      <c r="C213" s="297"/>
      <c r="D213" s="297">
        <f>B211</f>
        <v>4011</v>
      </c>
      <c r="E213" s="297" t="str">
        <f>C211</f>
        <v>Fournisseurs</v>
      </c>
      <c r="F213" s="297"/>
      <c r="G213" s="297"/>
      <c r="H213" s="301">
        <f>G206*(1+D210)</f>
        <v>4562250</v>
      </c>
    </row>
    <row r="214" spans="1:8" ht="14.1" customHeight="1">
      <c r="A214" s="298">
        <f>A208</f>
        <v>6055</v>
      </c>
      <c r="B214" s="297" t="str">
        <f>B208</f>
        <v>Fournitures de bureau et petit logiciel bureautique</v>
      </c>
      <c r="C214" s="297"/>
      <c r="D214" s="297">
        <f>D213</f>
        <v>4011</v>
      </c>
      <c r="E214" s="297" t="str">
        <f t="shared" ref="E214:E215" si="5">E213</f>
        <v>Fournisseurs</v>
      </c>
      <c r="F214" s="297"/>
      <c r="G214" s="297"/>
      <c r="H214" s="301">
        <f>G208*(1+D210)</f>
        <v>23700</v>
      </c>
    </row>
    <row r="215" spans="1:8" ht="14.1" customHeight="1">
      <c r="A215" s="298">
        <f>A209</f>
        <v>6064</v>
      </c>
      <c r="B215" s="297" t="str">
        <f>B209</f>
        <v>Fournitures administratives</v>
      </c>
      <c r="C215" s="297"/>
      <c r="D215" s="297">
        <f>D214</f>
        <v>4011</v>
      </c>
      <c r="E215" s="297" t="str">
        <f t="shared" si="5"/>
        <v>Fournisseurs</v>
      </c>
      <c r="F215" s="297"/>
      <c r="G215" s="297"/>
      <c r="H215" s="301">
        <f>G209*(1+D210)</f>
        <v>296250</v>
      </c>
    </row>
    <row r="216" spans="1:8" ht="14.1" customHeight="1">
      <c r="A216" s="298" t="s">
        <v>802</v>
      </c>
      <c r="B216" s="297"/>
      <c r="C216" s="297"/>
      <c r="D216" s="297"/>
      <c r="E216" s="297"/>
      <c r="F216" s="297"/>
      <c r="G216" s="297"/>
      <c r="H216" s="301"/>
    </row>
    <row r="217" spans="1:8" ht="14.1" customHeight="1">
      <c r="A217" s="302">
        <f>D215</f>
        <v>4011</v>
      </c>
      <c r="B217" s="303" t="str">
        <f>E215</f>
        <v>Fournisseurs</v>
      </c>
      <c r="C217" s="303"/>
      <c r="D217" s="319">
        <v>520</v>
      </c>
      <c r="E217" s="319" t="s">
        <v>170</v>
      </c>
      <c r="F217" s="303"/>
      <c r="G217" s="303"/>
      <c r="H217" s="320">
        <f>H211</f>
        <v>4878500</v>
      </c>
    </row>
    <row r="218" spans="1:8" ht="14.1" customHeight="1">
      <c r="A218" s="141"/>
      <c r="B218" s="141"/>
      <c r="C218" s="141"/>
      <c r="D218" s="141"/>
      <c r="E218" s="141"/>
      <c r="F218" s="141"/>
      <c r="G218" s="141"/>
      <c r="H218" s="141"/>
    </row>
    <row r="219" spans="1:8" ht="14.1" customHeight="1">
      <c r="A219" s="1234" t="s">
        <v>1204</v>
      </c>
      <c r="B219" s="1235"/>
      <c r="C219" s="308"/>
      <c r="D219" s="308"/>
      <c r="E219" s="308"/>
      <c r="F219" s="308"/>
      <c r="G219" s="308"/>
      <c r="H219" s="309"/>
    </row>
    <row r="220" spans="1:8" ht="14.1" customHeight="1">
      <c r="A220" s="347" t="s">
        <v>712</v>
      </c>
      <c r="B220" s="83"/>
      <c r="C220" s="83"/>
      <c r="D220" s="83"/>
      <c r="E220" s="83"/>
      <c r="F220" s="83"/>
      <c r="G220" s="83"/>
      <c r="H220" s="318"/>
    </row>
    <row r="221" spans="1:8" ht="14.1" customHeight="1">
      <c r="A221" s="348"/>
      <c r="B221" s="108"/>
      <c r="C221" s="83"/>
      <c r="D221" s="83"/>
      <c r="E221" s="83"/>
      <c r="F221" s="83"/>
      <c r="G221" s="83"/>
      <c r="H221" s="318"/>
    </row>
    <row r="222" spans="1:8" ht="14.1" customHeight="1">
      <c r="A222" s="778"/>
      <c r="B222" s="108"/>
      <c r="C222" s="108" t="s">
        <v>713</v>
      </c>
      <c r="D222" s="242">
        <v>100000</v>
      </c>
      <c r="E222" s="83"/>
      <c r="F222" s="83"/>
      <c r="G222" s="83"/>
      <c r="H222" s="318"/>
    </row>
    <row r="223" spans="1:8" ht="14.1" customHeight="1">
      <c r="A223" s="778"/>
      <c r="B223" s="108"/>
      <c r="C223" s="108" t="s">
        <v>714</v>
      </c>
      <c r="D223" s="242">
        <v>125000</v>
      </c>
      <c r="E223" s="83"/>
      <c r="F223" s="83"/>
      <c r="G223" s="83"/>
      <c r="H223" s="318"/>
    </row>
    <row r="224" spans="1:8" ht="14.1" customHeight="1">
      <c r="A224" s="778"/>
      <c r="B224" s="108"/>
      <c r="C224" s="108" t="s">
        <v>715</v>
      </c>
      <c r="D224" s="242">
        <v>35000</v>
      </c>
      <c r="E224" s="83"/>
      <c r="F224" s="83"/>
      <c r="G224" s="83"/>
      <c r="H224" s="318"/>
    </row>
    <row r="225" spans="1:8" ht="14.1" customHeight="1">
      <c r="A225" s="778"/>
      <c r="B225" s="108"/>
      <c r="C225" s="108" t="s">
        <v>716</v>
      </c>
      <c r="D225" s="83">
        <f>SUM(D222:D224)</f>
        <v>260000</v>
      </c>
      <c r="E225" s="83"/>
      <c r="F225" s="83"/>
      <c r="G225" s="83"/>
      <c r="H225" s="318"/>
    </row>
    <row r="226" spans="1:8" ht="14.1" customHeight="1">
      <c r="A226" s="347"/>
      <c r="B226" s="83"/>
      <c r="C226" s="83"/>
      <c r="D226" s="83"/>
      <c r="E226" s="83"/>
      <c r="F226" s="83"/>
      <c r="G226" s="83"/>
      <c r="H226" s="318"/>
    </row>
    <row r="227" spans="1:8" ht="14.1" customHeight="1">
      <c r="A227" s="347" t="s">
        <v>717</v>
      </c>
      <c r="B227" s="83"/>
      <c r="C227" s="83"/>
      <c r="D227" s="83"/>
      <c r="E227" s="83"/>
      <c r="F227" s="83"/>
      <c r="G227" s="83"/>
      <c r="H227" s="318"/>
    </row>
    <row r="228" spans="1:8" ht="14.1" customHeight="1">
      <c r="A228" s="295">
        <v>231</v>
      </c>
      <c r="B228" s="69" t="s">
        <v>302</v>
      </c>
      <c r="C228" s="65"/>
      <c r="D228" s="65"/>
      <c r="E228" s="83"/>
      <c r="F228" s="83"/>
      <c r="G228" s="65">
        <f>D225</f>
        <v>260000</v>
      </c>
      <c r="H228" s="314"/>
    </row>
    <row r="229" spans="1:8" ht="14.1" customHeight="1">
      <c r="A229" s="307"/>
      <c r="B229" s="71">
        <v>7500</v>
      </c>
      <c r="C229" s="69" t="s">
        <v>177</v>
      </c>
      <c r="D229" s="65"/>
      <c r="E229" s="83"/>
      <c r="F229" s="83"/>
      <c r="G229" s="65"/>
      <c r="H229" s="314">
        <f>G228</f>
        <v>260000</v>
      </c>
    </row>
    <row r="230" spans="1:8" ht="14.1" customHeight="1">
      <c r="A230" s="307"/>
      <c r="B230" s="65"/>
      <c r="C230" s="65"/>
      <c r="D230" s="65"/>
      <c r="E230" s="83"/>
      <c r="F230" s="83"/>
      <c r="G230" s="65"/>
      <c r="H230" s="314"/>
    </row>
    <row r="231" spans="1:8" ht="14.1" customHeight="1">
      <c r="A231" s="307">
        <v>44512</v>
      </c>
      <c r="B231" s="65" t="s">
        <v>486</v>
      </c>
      <c r="C231" s="65"/>
      <c r="D231" s="245">
        <v>0.185</v>
      </c>
      <c r="E231" s="83"/>
      <c r="F231" s="83"/>
      <c r="G231" s="65">
        <f>G228*D231</f>
        <v>48100</v>
      </c>
      <c r="H231" s="314"/>
    </row>
    <row r="232" spans="1:8" ht="14.1" customHeight="1">
      <c r="A232" s="316"/>
      <c r="B232" s="66">
        <v>44312</v>
      </c>
      <c r="C232" s="66" t="s">
        <v>484</v>
      </c>
      <c r="D232" s="251">
        <f>D231</f>
        <v>0.185</v>
      </c>
      <c r="E232" s="67"/>
      <c r="F232" s="67"/>
      <c r="G232" s="66"/>
      <c r="H232" s="317">
        <f>G231</f>
        <v>48100</v>
      </c>
    </row>
    <row r="233" spans="1:8" ht="14.1" customHeight="1">
      <c r="A233" s="271" t="s">
        <v>1111</v>
      </c>
      <c r="B233" s="299"/>
      <c r="C233" s="297"/>
      <c r="D233" s="297"/>
      <c r="E233" s="297"/>
      <c r="F233" s="297"/>
      <c r="G233" s="297"/>
      <c r="H233" s="301"/>
    </row>
    <row r="234" spans="1:8" ht="14.1" customHeight="1">
      <c r="A234" s="302">
        <f>A228</f>
        <v>231</v>
      </c>
      <c r="B234" s="302" t="str">
        <f>B228</f>
        <v>Bâtiments sur sol propre</v>
      </c>
      <c r="C234" s="303"/>
      <c r="D234" s="303">
        <f>B229</f>
        <v>7500</v>
      </c>
      <c r="E234" s="303" t="str">
        <f>C229</f>
        <v>Autres produits</v>
      </c>
      <c r="F234" s="303"/>
      <c r="G234" s="303"/>
      <c r="H234" s="320">
        <f>G228+G231</f>
        <v>308100</v>
      </c>
    </row>
    <row r="235" spans="1:8" ht="14.1" customHeight="1">
      <c r="A235" s="65"/>
      <c r="B235" s="65"/>
      <c r="C235" s="65"/>
      <c r="D235" s="107"/>
      <c r="E235" s="83"/>
      <c r="F235" s="83"/>
      <c r="G235" s="65"/>
      <c r="H235" s="65"/>
    </row>
    <row r="237" spans="1:8" ht="14.1" customHeight="1">
      <c r="A237" s="1221" t="s">
        <v>718</v>
      </c>
      <c r="B237" s="1236"/>
      <c r="C237" s="1236"/>
      <c r="D237" s="308"/>
      <c r="E237" s="308"/>
      <c r="F237" s="308"/>
      <c r="G237" s="308"/>
      <c r="H237" s="309"/>
    </row>
    <row r="238" spans="1:8" ht="14.1" customHeight="1">
      <c r="A238" s="348"/>
      <c r="B238" s="65"/>
      <c r="C238" s="65"/>
      <c r="D238" s="65"/>
      <c r="E238" s="83"/>
      <c r="F238" s="83"/>
      <c r="G238" s="65"/>
      <c r="H238" s="314"/>
    </row>
    <row r="239" spans="1:8" ht="14.1" customHeight="1">
      <c r="A239" s="348" t="s">
        <v>719</v>
      </c>
      <c r="B239" s="65"/>
      <c r="C239" s="65" t="s">
        <v>720</v>
      </c>
      <c r="D239" s="249">
        <v>7000</v>
      </c>
      <c r="E239" s="83"/>
      <c r="F239" s="83"/>
      <c r="G239" s="65"/>
      <c r="H239" s="314"/>
    </row>
    <row r="240" spans="1:8" ht="14.1" customHeight="1">
      <c r="A240" s="307"/>
      <c r="B240" s="65"/>
      <c r="C240" s="65" t="s">
        <v>721</v>
      </c>
      <c r="D240" s="249">
        <v>10000</v>
      </c>
      <c r="E240" s="83"/>
      <c r="F240" s="83"/>
      <c r="G240" s="65"/>
      <c r="H240" s="314"/>
    </row>
    <row r="241" spans="1:8" ht="14.1" customHeight="1">
      <c r="A241" s="307"/>
      <c r="B241" s="65"/>
      <c r="C241" s="65" t="s">
        <v>722</v>
      </c>
      <c r="D241" s="249">
        <v>2000</v>
      </c>
      <c r="E241" s="83"/>
      <c r="F241" s="83"/>
      <c r="G241" s="65"/>
      <c r="H241" s="314"/>
    </row>
    <row r="242" spans="1:8" ht="14.1" customHeight="1">
      <c r="A242" s="307"/>
      <c r="B242" s="65"/>
      <c r="C242" s="65"/>
      <c r="D242" s="65">
        <f>SUM(D239:D241)</f>
        <v>19000</v>
      </c>
      <c r="E242" s="83"/>
      <c r="F242" s="83"/>
      <c r="G242" s="65"/>
      <c r="H242" s="314"/>
    </row>
    <row r="243" spans="1:8" ht="14.1" customHeight="1">
      <c r="A243" s="295">
        <v>231</v>
      </c>
      <c r="B243" s="69" t="s">
        <v>302</v>
      </c>
      <c r="C243" s="65"/>
      <c r="D243" s="65"/>
      <c r="E243" s="83"/>
      <c r="F243" s="83"/>
      <c r="G243" s="65">
        <f>D242</f>
        <v>19000</v>
      </c>
      <c r="H243" s="314"/>
    </row>
    <row r="244" spans="1:8" ht="14.1" customHeight="1">
      <c r="A244" s="307">
        <v>44512</v>
      </c>
      <c r="B244" s="65" t="s">
        <v>486</v>
      </c>
      <c r="C244" s="65"/>
      <c r="D244" s="245">
        <v>0.185</v>
      </c>
      <c r="E244" s="83"/>
      <c r="F244" s="83"/>
      <c r="G244" s="65">
        <f>G243*D244</f>
        <v>3515</v>
      </c>
      <c r="H244" s="314"/>
    </row>
    <row r="245" spans="1:8" ht="14.1" customHeight="1">
      <c r="A245" s="307"/>
      <c r="B245" s="65">
        <v>44312</v>
      </c>
      <c r="C245" s="65" t="s">
        <v>484</v>
      </c>
      <c r="D245" s="107">
        <v>0.185</v>
      </c>
      <c r="E245" s="83"/>
      <c r="F245" s="83"/>
      <c r="G245" s="65"/>
      <c r="H245" s="314">
        <f>G244</f>
        <v>3515</v>
      </c>
    </row>
    <row r="246" spans="1:8" ht="14.1" customHeight="1">
      <c r="A246" s="316"/>
      <c r="B246" s="75">
        <v>7500</v>
      </c>
      <c r="C246" s="76" t="s">
        <v>177</v>
      </c>
      <c r="D246" s="66"/>
      <c r="E246" s="67"/>
      <c r="F246" s="67"/>
      <c r="G246" s="66"/>
      <c r="H246" s="317">
        <f>G243</f>
        <v>19000</v>
      </c>
    </row>
    <row r="247" spans="1:8" ht="14.1" customHeight="1">
      <c r="A247" s="271" t="s">
        <v>1111</v>
      </c>
      <c r="B247" s="299"/>
      <c r="C247" s="297"/>
      <c r="D247" s="297"/>
      <c r="E247" s="297"/>
      <c r="F247" s="297"/>
      <c r="G247" s="297"/>
      <c r="H247" s="301"/>
    </row>
    <row r="248" spans="1:8" ht="14.1" customHeight="1">
      <c r="A248" s="302">
        <f>A243</f>
        <v>231</v>
      </c>
      <c r="B248" s="302" t="str">
        <f>B243</f>
        <v>Bâtiments sur sol propre</v>
      </c>
      <c r="C248" s="303"/>
      <c r="D248" s="303">
        <f>B246</f>
        <v>7500</v>
      </c>
      <c r="E248" s="303" t="str">
        <f>C246</f>
        <v>Autres produits</v>
      </c>
      <c r="F248" s="303"/>
      <c r="G248" s="303"/>
      <c r="H248" s="320">
        <f>G243+G244</f>
        <v>22515</v>
      </c>
    </row>
    <row r="251" spans="1:8" ht="14.1" customHeight="1">
      <c r="A251" s="1221" t="s">
        <v>723</v>
      </c>
      <c r="B251" s="1237"/>
      <c r="C251" s="1222"/>
      <c r="D251" s="308"/>
      <c r="E251" s="308"/>
      <c r="F251" s="308"/>
      <c r="G251" s="308"/>
      <c r="H251" s="309"/>
    </row>
    <row r="252" spans="1:8" ht="14.1" customHeight="1">
      <c r="A252" s="347"/>
      <c r="B252" s="83"/>
      <c r="C252" s="83"/>
      <c r="D252" s="83"/>
      <c r="E252" s="83"/>
      <c r="F252" s="83"/>
      <c r="G252" s="83"/>
      <c r="H252" s="318"/>
    </row>
    <row r="253" spans="1:8" ht="14.1" customHeight="1">
      <c r="A253" s="307"/>
      <c r="B253" s="65"/>
      <c r="C253" s="65" t="s">
        <v>720</v>
      </c>
      <c r="D253" s="249">
        <v>3000000</v>
      </c>
      <c r="E253" s="83"/>
      <c r="F253" s="83"/>
      <c r="G253" s="65"/>
      <c r="H253" s="314"/>
    </row>
    <row r="254" spans="1:8" ht="14.1" customHeight="1">
      <c r="A254" s="307"/>
      <c r="B254" s="65"/>
      <c r="C254" s="65" t="s">
        <v>721</v>
      </c>
      <c r="D254" s="249">
        <v>100000</v>
      </c>
      <c r="E254" s="83"/>
      <c r="F254" s="83"/>
      <c r="G254" s="65"/>
      <c r="H254" s="314"/>
    </row>
    <row r="255" spans="1:8" ht="14.1" customHeight="1">
      <c r="A255" s="307"/>
      <c r="B255" s="65"/>
      <c r="C255" s="65" t="s">
        <v>722</v>
      </c>
      <c r="D255" s="249">
        <v>500000</v>
      </c>
      <c r="E255" s="83"/>
      <c r="F255" s="83"/>
      <c r="G255" s="65"/>
      <c r="H255" s="314"/>
    </row>
    <row r="256" spans="1:8" ht="14.1" customHeight="1">
      <c r="A256" s="307"/>
      <c r="B256" s="65"/>
      <c r="C256" s="65"/>
      <c r="D256" s="65">
        <f>SUM(D253:D255)</f>
        <v>3600000</v>
      </c>
      <c r="E256" s="83"/>
      <c r="F256" s="83"/>
      <c r="G256" s="65"/>
      <c r="H256" s="314"/>
    </row>
    <row r="257" spans="1:8" ht="14.1" customHeight="1">
      <c r="A257" s="295">
        <v>249</v>
      </c>
      <c r="B257" s="69" t="s">
        <v>318</v>
      </c>
      <c r="C257" s="65"/>
      <c r="D257" s="65"/>
      <c r="E257" s="83"/>
      <c r="F257" s="83"/>
      <c r="G257" s="65">
        <f>D256</f>
        <v>3600000</v>
      </c>
      <c r="H257" s="314"/>
    </row>
    <row r="258" spans="1:8" ht="14.1" customHeight="1">
      <c r="A258" s="307"/>
      <c r="B258" s="65">
        <v>7500</v>
      </c>
      <c r="C258" s="65" t="s">
        <v>177</v>
      </c>
      <c r="D258" s="65"/>
      <c r="E258" s="83"/>
      <c r="F258" s="83"/>
      <c r="G258" s="65"/>
      <c r="H258" s="314">
        <f>G257</f>
        <v>3600000</v>
      </c>
    </row>
    <row r="259" spans="1:8" ht="14.1" customHeight="1">
      <c r="A259" s="271" t="s">
        <v>1111</v>
      </c>
      <c r="B259" s="299"/>
      <c r="C259" s="297"/>
      <c r="D259" s="297"/>
      <c r="E259" s="297"/>
      <c r="F259" s="297"/>
      <c r="G259" s="297"/>
      <c r="H259" s="301"/>
    </row>
    <row r="260" spans="1:8" ht="14.1" customHeight="1">
      <c r="A260" s="298">
        <f>A257</f>
        <v>249</v>
      </c>
      <c r="B260" s="298" t="str">
        <f>B257</f>
        <v>Autres immobilisation corporelles en cours</v>
      </c>
      <c r="C260" s="297"/>
      <c r="D260" s="297">
        <f>B258</f>
        <v>7500</v>
      </c>
      <c r="E260" s="297" t="str">
        <f>C258</f>
        <v>Autres produits</v>
      </c>
      <c r="F260" s="297"/>
      <c r="G260" s="297"/>
      <c r="H260" s="301">
        <f>G257</f>
        <v>3600000</v>
      </c>
    </row>
    <row r="261" spans="1:8" ht="14.1" customHeight="1">
      <c r="A261" s="347"/>
      <c r="B261" s="83"/>
      <c r="C261" s="83"/>
      <c r="D261" s="83"/>
      <c r="E261" s="83"/>
      <c r="F261" s="83"/>
      <c r="G261" s="83"/>
      <c r="H261" s="318"/>
    </row>
    <row r="262" spans="1:8" ht="14.1" customHeight="1">
      <c r="A262" s="307"/>
      <c r="B262" s="65"/>
      <c r="C262" s="65" t="s">
        <v>724</v>
      </c>
      <c r="D262" s="249">
        <v>2000000</v>
      </c>
      <c r="E262" s="83"/>
      <c r="F262" s="83"/>
      <c r="G262" s="65"/>
      <c r="H262" s="314"/>
    </row>
    <row r="263" spans="1:8" ht="14.1" customHeight="1">
      <c r="A263" s="307"/>
      <c r="B263" s="65"/>
      <c r="C263" s="65" t="s">
        <v>725</v>
      </c>
      <c r="D263" s="65">
        <f>SUM(D256,D262)</f>
        <v>5600000</v>
      </c>
      <c r="E263" s="83"/>
      <c r="F263" s="83"/>
      <c r="G263" s="65"/>
      <c r="H263" s="314"/>
    </row>
    <row r="264" spans="1:8" ht="14.1" customHeight="1">
      <c r="A264" s="307"/>
      <c r="B264" s="65"/>
      <c r="C264" s="65"/>
      <c r="D264" s="65"/>
      <c r="E264" s="83"/>
      <c r="F264" s="83"/>
      <c r="G264" s="65"/>
      <c r="H264" s="314"/>
    </row>
    <row r="265" spans="1:8" ht="14.1" customHeight="1">
      <c r="A265" s="1223" t="s">
        <v>726</v>
      </c>
      <c r="B265" s="1238"/>
      <c r="C265" s="83"/>
      <c r="D265" s="83"/>
      <c r="E265" s="83"/>
      <c r="F265" s="83"/>
      <c r="G265" s="65"/>
      <c r="H265" s="314"/>
    </row>
    <row r="266" spans="1:8" ht="14.1" customHeight="1">
      <c r="A266" s="295">
        <v>231</v>
      </c>
      <c r="B266" s="69" t="s">
        <v>302</v>
      </c>
      <c r="C266" s="83"/>
      <c r="D266" s="65"/>
      <c r="E266" s="83"/>
      <c r="F266" s="83"/>
      <c r="G266" s="65">
        <f>D263</f>
        <v>5600000</v>
      </c>
      <c r="H266" s="314"/>
    </row>
    <row r="267" spans="1:8" ht="14.1" customHeight="1">
      <c r="A267" s="307">
        <v>44512</v>
      </c>
      <c r="B267" s="65" t="s">
        <v>727</v>
      </c>
      <c r="C267" s="83"/>
      <c r="D267" s="245">
        <v>0.185</v>
      </c>
      <c r="E267" s="83"/>
      <c r="F267" s="83"/>
      <c r="G267" s="65">
        <f>G266*D267</f>
        <v>1036000</v>
      </c>
      <c r="H267" s="314"/>
    </row>
    <row r="268" spans="1:8" ht="14.1" customHeight="1">
      <c r="A268" s="347"/>
      <c r="B268" s="65">
        <v>249</v>
      </c>
      <c r="C268" s="65" t="s">
        <v>318</v>
      </c>
      <c r="D268" s="65"/>
      <c r="E268" s="83"/>
      <c r="F268" s="83"/>
      <c r="G268" s="65"/>
      <c r="H268" s="314">
        <f>G257</f>
        <v>3600000</v>
      </c>
    </row>
    <row r="269" spans="1:8" ht="14.1" customHeight="1">
      <c r="A269" s="347"/>
      <c r="B269" s="65">
        <v>44312</v>
      </c>
      <c r="C269" s="65" t="s">
        <v>577</v>
      </c>
      <c r="D269" s="107">
        <v>0.185</v>
      </c>
      <c r="E269" s="83"/>
      <c r="F269" s="83"/>
      <c r="G269" s="65"/>
      <c r="H269" s="314">
        <f>G267</f>
        <v>1036000</v>
      </c>
    </row>
    <row r="270" spans="1:8" ht="14.1" customHeight="1">
      <c r="A270" s="316"/>
      <c r="B270" s="66">
        <v>7500</v>
      </c>
      <c r="C270" s="66" t="s">
        <v>177</v>
      </c>
      <c r="D270" s="66"/>
      <c r="E270" s="67"/>
      <c r="F270" s="67"/>
      <c r="G270" s="66"/>
      <c r="H270" s="317">
        <f>D262</f>
        <v>2000000</v>
      </c>
    </row>
    <row r="271" spans="1:8" ht="14.1" customHeight="1">
      <c r="A271" s="271" t="s">
        <v>1111</v>
      </c>
      <c r="B271" s="299"/>
      <c r="C271" s="297"/>
      <c r="D271" s="297"/>
      <c r="E271" s="297"/>
      <c r="F271" s="297"/>
      <c r="G271" s="297"/>
      <c r="H271" s="301"/>
    </row>
    <row r="272" spans="1:8" ht="14.1" customHeight="1">
      <c r="A272" s="298">
        <f>A266</f>
        <v>231</v>
      </c>
      <c r="B272" s="298" t="str">
        <f>B266</f>
        <v>Bâtiments sur sol propre</v>
      </c>
      <c r="C272" s="297"/>
      <c r="D272" s="297">
        <f>B270</f>
        <v>7500</v>
      </c>
      <c r="E272" s="297" t="str">
        <f>C270</f>
        <v>Autres produits</v>
      </c>
      <c r="F272" s="297"/>
      <c r="G272" s="297"/>
      <c r="H272" s="301">
        <f>H270</f>
        <v>2000000</v>
      </c>
    </row>
    <row r="273" spans="1:8" ht="14.1" customHeight="1">
      <c r="A273" s="302">
        <f>A266</f>
        <v>231</v>
      </c>
      <c r="B273" s="302" t="str">
        <f>B266</f>
        <v>Bâtiments sur sol propre</v>
      </c>
      <c r="C273" s="780"/>
      <c r="D273" s="780">
        <f>B268</f>
        <v>249</v>
      </c>
      <c r="E273" s="780" t="str">
        <f>C268</f>
        <v>Autres immobilisation corporelles en cours</v>
      </c>
      <c r="F273" s="780"/>
      <c r="G273" s="780"/>
      <c r="H273" s="781">
        <f>H268</f>
        <v>3600000</v>
      </c>
    </row>
    <row r="274" spans="1:8" ht="14.1" customHeight="1">
      <c r="A274" s="109"/>
      <c r="B274" s="109"/>
    </row>
    <row r="275" spans="1:8" ht="14.1" customHeight="1">
      <c r="A275" s="109"/>
    </row>
    <row r="276" spans="1:8" ht="14.1" customHeight="1">
      <c r="A276" s="346"/>
      <c r="B276" s="308"/>
      <c r="C276" s="308"/>
      <c r="D276" s="308"/>
      <c r="E276" s="308"/>
      <c r="F276" s="308"/>
      <c r="G276" s="308"/>
      <c r="H276" s="309"/>
    </row>
    <row r="277" spans="1:8" ht="14.1" customHeight="1">
      <c r="A277" s="1239" t="s">
        <v>728</v>
      </c>
      <c r="B277" s="1240"/>
      <c r="C277" s="1224"/>
      <c r="D277" s="83"/>
      <c r="E277" s="83"/>
      <c r="F277" s="83"/>
      <c r="G277" s="83"/>
      <c r="H277" s="318"/>
    </row>
    <row r="278" spans="1:8" ht="14.1" customHeight="1">
      <c r="A278" s="347"/>
      <c r="B278" s="83"/>
      <c r="C278" s="83" t="s">
        <v>729</v>
      </c>
      <c r="D278" s="242">
        <v>3000000</v>
      </c>
      <c r="E278" s="83"/>
      <c r="F278" s="83"/>
      <c r="G278" s="83"/>
      <c r="H278" s="318"/>
    </row>
    <row r="279" spans="1:8" ht="14.1" customHeight="1">
      <c r="A279" s="348"/>
      <c r="B279" s="108"/>
      <c r="C279" s="83" t="s">
        <v>730</v>
      </c>
      <c r="D279" s="242">
        <v>2100000</v>
      </c>
      <c r="E279" s="83"/>
      <c r="F279" s="83"/>
      <c r="G279" s="83"/>
      <c r="H279" s="318"/>
    </row>
    <row r="280" spans="1:8" ht="14.1" customHeight="1">
      <c r="A280" s="348"/>
      <c r="B280" s="108"/>
      <c r="C280" s="83" t="s">
        <v>731</v>
      </c>
      <c r="D280" s="242">
        <v>1000000</v>
      </c>
      <c r="E280" s="83"/>
      <c r="F280" s="83"/>
      <c r="G280" s="83"/>
      <c r="H280" s="318"/>
    </row>
    <row r="281" spans="1:8" ht="14.1" customHeight="1">
      <c r="A281" s="347"/>
      <c r="B281" s="83"/>
      <c r="C281" s="83" t="s">
        <v>732</v>
      </c>
      <c r="D281" s="83">
        <f>D278-D279</f>
        <v>900000</v>
      </c>
      <c r="E281" s="83"/>
      <c r="F281" s="83"/>
      <c r="G281" s="83"/>
      <c r="H281" s="318"/>
    </row>
    <row r="282" spans="1:8" ht="14.1" customHeight="1">
      <c r="A282" s="347"/>
      <c r="B282" s="83"/>
      <c r="C282" s="83"/>
      <c r="D282" s="83"/>
      <c r="E282" s="83"/>
      <c r="F282" s="83"/>
      <c r="G282" s="83"/>
      <c r="H282" s="318"/>
    </row>
    <row r="283" spans="1:8" ht="14.1" customHeight="1">
      <c r="A283" s="307">
        <v>279</v>
      </c>
      <c r="B283" s="65" t="s">
        <v>733</v>
      </c>
      <c r="C283" s="65"/>
      <c r="D283" s="65"/>
      <c r="E283" s="83"/>
      <c r="F283" s="83"/>
      <c r="G283" s="65">
        <f>SUM(H284:H285)</f>
        <v>1185000</v>
      </c>
      <c r="H283" s="314"/>
    </row>
    <row r="284" spans="1:8" ht="14.1" customHeight="1">
      <c r="A284" s="347"/>
      <c r="B284" s="65">
        <v>44312</v>
      </c>
      <c r="C284" s="65" t="s">
        <v>484</v>
      </c>
      <c r="D284" s="245">
        <v>0.185</v>
      </c>
      <c r="E284" s="83"/>
      <c r="F284" s="83"/>
      <c r="G284" s="65"/>
      <c r="H284" s="314">
        <f>H285*D284</f>
        <v>185000</v>
      </c>
    </row>
    <row r="285" spans="1:8" ht="14.1" customHeight="1">
      <c r="A285" s="347"/>
      <c r="B285" s="65">
        <v>8220</v>
      </c>
      <c r="C285" s="65" t="s">
        <v>734</v>
      </c>
      <c r="D285" s="65"/>
      <c r="E285" s="83"/>
      <c r="F285" s="83"/>
      <c r="G285" s="65"/>
      <c r="H285" s="314">
        <f>D280</f>
        <v>1000000</v>
      </c>
    </row>
    <row r="286" spans="1:8" ht="14.1" customHeight="1">
      <c r="A286" s="271" t="s">
        <v>1111</v>
      </c>
      <c r="B286" s="299"/>
      <c r="C286" s="297"/>
      <c r="D286" s="297"/>
      <c r="E286" s="297"/>
      <c r="F286" s="297"/>
      <c r="G286" s="297"/>
      <c r="H286" s="301"/>
    </row>
    <row r="287" spans="1:8" ht="14.1" customHeight="1">
      <c r="A287" s="298">
        <f>A283</f>
        <v>279</v>
      </c>
      <c r="B287" s="298" t="str">
        <f>B283</f>
        <v>Créances sur cessions d’immobilisations</v>
      </c>
      <c r="C287" s="297"/>
      <c r="D287" s="297">
        <f>B285</f>
        <v>8220</v>
      </c>
      <c r="E287" s="297" t="str">
        <f>C285</f>
        <v>Produits de cessions d’éléments d’actifs corporelles</v>
      </c>
      <c r="F287" s="297"/>
      <c r="G287" s="297"/>
      <c r="H287" s="301">
        <f>G283</f>
        <v>1185000</v>
      </c>
    </row>
    <row r="288" spans="1:8" ht="14.1" customHeight="1">
      <c r="A288" s="347"/>
      <c r="B288" s="65"/>
      <c r="C288" s="65"/>
      <c r="D288" s="65"/>
      <c r="E288" s="83"/>
      <c r="F288" s="83"/>
      <c r="G288" s="65"/>
      <c r="H288" s="314"/>
    </row>
    <row r="289" spans="1:8" ht="14.1" customHeight="1">
      <c r="A289" s="347"/>
      <c r="B289" s="65"/>
      <c r="C289" s="65"/>
      <c r="D289" s="65"/>
      <c r="E289" s="83"/>
      <c r="F289" s="83"/>
      <c r="G289" s="65"/>
      <c r="H289" s="314"/>
    </row>
    <row r="290" spans="1:8" ht="14.1" customHeight="1">
      <c r="A290" s="348" t="s">
        <v>735</v>
      </c>
      <c r="B290" s="108"/>
      <c r="C290" s="83"/>
      <c r="D290" s="83"/>
      <c r="E290" s="83"/>
      <c r="F290" s="83"/>
      <c r="G290" s="83"/>
      <c r="H290" s="318"/>
    </row>
    <row r="291" spans="1:8" ht="14.1" customHeight="1">
      <c r="A291" s="347"/>
      <c r="B291" s="83"/>
      <c r="C291" s="83"/>
      <c r="D291" s="83"/>
      <c r="E291" s="83"/>
      <c r="F291" s="83"/>
      <c r="G291" s="83"/>
      <c r="H291" s="318"/>
    </row>
    <row r="292" spans="1:8" ht="14.1" customHeight="1">
      <c r="A292" s="295">
        <v>2841</v>
      </c>
      <c r="B292" s="69" t="s">
        <v>312</v>
      </c>
      <c r="C292" s="83"/>
      <c r="D292" s="65"/>
      <c r="E292" s="83"/>
      <c r="F292" s="83"/>
      <c r="G292" s="65">
        <f>D279</f>
        <v>2100000</v>
      </c>
      <c r="H292" s="314"/>
    </row>
    <row r="293" spans="1:8" ht="14.1" customHeight="1">
      <c r="A293" s="307">
        <v>812</v>
      </c>
      <c r="B293" s="65" t="s">
        <v>736</v>
      </c>
      <c r="C293" s="83"/>
      <c r="D293" s="65"/>
      <c r="E293" s="83"/>
      <c r="F293" s="83"/>
      <c r="G293" s="65">
        <f>D281</f>
        <v>900000</v>
      </c>
      <c r="H293" s="314"/>
    </row>
    <row r="294" spans="1:8" ht="14.1" customHeight="1">
      <c r="A294" s="316"/>
      <c r="B294" s="75">
        <v>241</v>
      </c>
      <c r="C294" s="76" t="s">
        <v>737</v>
      </c>
      <c r="D294" s="66"/>
      <c r="E294" s="67"/>
      <c r="F294" s="67"/>
      <c r="G294" s="66"/>
      <c r="H294" s="317">
        <f>SUM(G292:G293)</f>
        <v>3000000</v>
      </c>
    </row>
    <row r="295" spans="1:8" ht="14.1" customHeight="1">
      <c r="A295" s="271" t="s">
        <v>1111</v>
      </c>
      <c r="B295" s="299"/>
      <c r="C295" s="297"/>
      <c r="D295" s="297"/>
      <c r="E295" s="297"/>
      <c r="F295" s="297"/>
      <c r="G295" s="297"/>
      <c r="H295" s="301"/>
    </row>
    <row r="296" spans="1:8" ht="14.1" customHeight="1">
      <c r="A296" s="298">
        <f>A292</f>
        <v>2841</v>
      </c>
      <c r="B296" s="298" t="str">
        <f>B292</f>
        <v>Amont. mat-outillage industriels.</v>
      </c>
      <c r="C296" s="297"/>
      <c r="D296" s="297">
        <f>B294</f>
        <v>241</v>
      </c>
      <c r="E296" s="297" t="str">
        <f>C294</f>
        <v>Mat-outillage industriels.</v>
      </c>
      <c r="F296" s="297"/>
      <c r="G296" s="297"/>
      <c r="H296" s="301">
        <f>G292</f>
        <v>2100000</v>
      </c>
    </row>
    <row r="297" spans="1:8" ht="14.1" customHeight="1">
      <c r="A297" s="302">
        <f>A293</f>
        <v>812</v>
      </c>
      <c r="B297" s="302" t="str">
        <f>B293</f>
        <v>Valeur comptables des éléments d’actifs cédés corporelles</v>
      </c>
      <c r="C297" s="780"/>
      <c r="D297" s="780">
        <f>D296</f>
        <v>241</v>
      </c>
      <c r="E297" s="780" t="str">
        <f>E296</f>
        <v>Mat-outillage industriels.</v>
      </c>
      <c r="F297" s="780"/>
      <c r="G297" s="780"/>
      <c r="H297" s="320">
        <f>G293</f>
        <v>900000</v>
      </c>
    </row>
    <row r="298" spans="1:8" ht="14.1" customHeight="1">
      <c r="A298" s="110"/>
      <c r="B298" s="110"/>
    </row>
    <row r="299" spans="1:8" ht="14.1" customHeight="1">
      <c r="A299" s="110"/>
      <c r="B299" s="110"/>
    </row>
    <row r="300" spans="1:8" ht="14.1" customHeight="1">
      <c r="A300" s="1241" t="s">
        <v>738</v>
      </c>
      <c r="B300" s="1242"/>
      <c r="C300" s="1222"/>
      <c r="D300" s="308"/>
      <c r="E300" s="308"/>
      <c r="F300" s="308"/>
      <c r="G300" s="308"/>
      <c r="H300" s="309"/>
    </row>
    <row r="301" spans="1:8" ht="14.1" customHeight="1">
      <c r="A301" s="347"/>
      <c r="B301" s="83"/>
      <c r="C301" s="83" t="s">
        <v>739</v>
      </c>
      <c r="D301" s="250">
        <v>10000000</v>
      </c>
      <c r="E301" s="83"/>
      <c r="F301" s="83"/>
      <c r="G301" s="83"/>
      <c r="H301" s="318"/>
    </row>
    <row r="302" spans="1:8" ht="14.1" customHeight="1">
      <c r="A302" s="347"/>
      <c r="B302" s="83"/>
      <c r="C302" s="83" t="s">
        <v>740</v>
      </c>
      <c r="D302" s="250">
        <v>9000000</v>
      </c>
      <c r="E302" s="83"/>
      <c r="F302" s="83"/>
      <c r="G302" s="83"/>
      <c r="H302" s="318"/>
    </row>
    <row r="303" spans="1:8" ht="14.1" customHeight="1">
      <c r="A303" s="347"/>
      <c r="B303" s="83"/>
      <c r="C303" s="83" t="s">
        <v>741</v>
      </c>
      <c r="D303" s="83">
        <f>D301-D302</f>
        <v>1000000</v>
      </c>
      <c r="E303" s="83"/>
      <c r="F303" s="83"/>
      <c r="G303" s="83"/>
      <c r="H303" s="318"/>
    </row>
    <row r="304" spans="1:8" ht="14.1" customHeight="1">
      <c r="A304" s="307"/>
      <c r="B304" s="65"/>
      <c r="C304" s="65"/>
      <c r="D304" s="65"/>
      <c r="E304" s="83"/>
      <c r="F304" s="83"/>
      <c r="G304" s="65"/>
      <c r="H304" s="314"/>
    </row>
    <row r="305" spans="1:8" ht="14.1" customHeight="1">
      <c r="A305" s="307">
        <v>279</v>
      </c>
      <c r="B305" s="65" t="s">
        <v>733</v>
      </c>
      <c r="C305" s="65"/>
      <c r="D305" s="65"/>
      <c r="E305" s="83"/>
      <c r="F305" s="83"/>
      <c r="G305" s="65">
        <f>SUM(H306:H307)</f>
        <v>11850000</v>
      </c>
      <c r="H305" s="314"/>
    </row>
    <row r="306" spans="1:8" ht="14.1" customHeight="1">
      <c r="A306" s="347"/>
      <c r="B306" s="65">
        <v>44312</v>
      </c>
      <c r="C306" s="65" t="s">
        <v>484</v>
      </c>
      <c r="D306" s="245">
        <v>0.185</v>
      </c>
      <c r="E306" s="83"/>
      <c r="F306" s="83"/>
      <c r="G306" s="65"/>
      <c r="H306" s="314">
        <f>H307*D306</f>
        <v>1850000</v>
      </c>
    </row>
    <row r="307" spans="1:8" ht="14.1" customHeight="1">
      <c r="A307" s="347"/>
      <c r="B307" s="65">
        <v>8220</v>
      </c>
      <c r="C307" s="65" t="s">
        <v>734</v>
      </c>
      <c r="D307" s="65"/>
      <c r="E307" s="83"/>
      <c r="F307" s="83"/>
      <c r="G307" s="65"/>
      <c r="H307" s="314">
        <f>D301</f>
        <v>10000000</v>
      </c>
    </row>
    <row r="308" spans="1:8" ht="14.1" customHeight="1">
      <c r="A308" s="271" t="s">
        <v>1111</v>
      </c>
      <c r="B308" s="299"/>
      <c r="C308" s="297"/>
      <c r="D308" s="297"/>
      <c r="E308" s="297"/>
      <c r="F308" s="297"/>
      <c r="G308" s="297"/>
      <c r="H308" s="301"/>
    </row>
    <row r="309" spans="1:8" ht="14.1" customHeight="1">
      <c r="A309" s="298">
        <f>A305</f>
        <v>279</v>
      </c>
      <c r="B309" s="298" t="str">
        <f>B305</f>
        <v>Créances sur cessions d’immobilisations</v>
      </c>
      <c r="C309" s="297"/>
      <c r="D309" s="297">
        <f>B307</f>
        <v>8220</v>
      </c>
      <c r="E309" s="297" t="str">
        <f>C307</f>
        <v>Produits de cessions d’éléments d’actifs corporelles</v>
      </c>
      <c r="F309" s="297"/>
      <c r="G309" s="297"/>
      <c r="H309" s="301">
        <f>G305</f>
        <v>11850000</v>
      </c>
    </row>
    <row r="310" spans="1:8" ht="14.1" customHeight="1">
      <c r="A310" s="347"/>
      <c r="B310" s="65"/>
      <c r="C310" s="65"/>
      <c r="D310" s="65"/>
      <c r="E310" s="83"/>
      <c r="F310" s="83"/>
      <c r="G310" s="65"/>
      <c r="H310" s="314"/>
    </row>
    <row r="311" spans="1:8" ht="14.1" customHeight="1">
      <c r="A311" s="348" t="s">
        <v>742</v>
      </c>
      <c r="B311" s="108"/>
      <c r="C311" s="83"/>
      <c r="D311" s="83"/>
      <c r="E311" s="83"/>
      <c r="F311" s="83"/>
      <c r="G311" s="83"/>
      <c r="H311" s="318"/>
    </row>
    <row r="312" spans="1:8" ht="14.1" customHeight="1">
      <c r="A312" s="307">
        <v>812</v>
      </c>
      <c r="B312" s="65" t="s">
        <v>736</v>
      </c>
      <c r="C312" s="65"/>
      <c r="D312" s="245">
        <v>0.185</v>
      </c>
      <c r="E312" s="83"/>
      <c r="F312" s="83"/>
      <c r="G312" s="65">
        <f>D302</f>
        <v>9000000</v>
      </c>
      <c r="H312" s="314"/>
    </row>
    <row r="313" spans="1:8" ht="14.1" customHeight="1">
      <c r="A313" s="316"/>
      <c r="B313" s="111">
        <v>221</v>
      </c>
      <c r="C313" s="112" t="s">
        <v>301</v>
      </c>
      <c r="D313" s="66"/>
      <c r="E313" s="67"/>
      <c r="F313" s="67"/>
      <c r="G313" s="66"/>
      <c r="H313" s="317">
        <f>G312</f>
        <v>9000000</v>
      </c>
    </row>
    <row r="314" spans="1:8" ht="14.1" customHeight="1">
      <c r="A314" s="271" t="s">
        <v>1111</v>
      </c>
      <c r="B314" s="299"/>
      <c r="C314" s="297"/>
      <c r="D314" s="297"/>
      <c r="E314" s="297"/>
      <c r="F314" s="297"/>
      <c r="G314" s="297"/>
      <c r="H314" s="301"/>
    </row>
    <row r="315" spans="1:8" ht="14.1" customHeight="1">
      <c r="A315" s="302">
        <f>A312</f>
        <v>812</v>
      </c>
      <c r="B315" s="302" t="str">
        <f>B312</f>
        <v>Valeur comptables des éléments d’actifs cédés corporelles</v>
      </c>
      <c r="C315" s="303"/>
      <c r="D315" s="303">
        <f>B313</f>
        <v>221</v>
      </c>
      <c r="E315" s="303" t="str">
        <f>C313</f>
        <v>Terrains agricoles, forestiers, nu, bâtit</v>
      </c>
      <c r="F315" s="303"/>
      <c r="G315" s="303"/>
      <c r="H315" s="320">
        <f>G312</f>
        <v>9000000</v>
      </c>
    </row>
    <row r="316" spans="1:8" ht="14.1" customHeight="1">
      <c r="A316" s="65"/>
      <c r="B316" s="73"/>
      <c r="C316" s="74"/>
      <c r="D316" s="65"/>
      <c r="E316" s="83"/>
      <c r="F316" s="83"/>
      <c r="G316" s="65"/>
      <c r="H316" s="65"/>
    </row>
    <row r="317" spans="1:8" ht="14.1" customHeight="1">
      <c r="A317" s="110"/>
      <c r="B317" s="110"/>
    </row>
    <row r="318" spans="1:8" ht="14.1" customHeight="1">
      <c r="A318" s="1241" t="s">
        <v>743</v>
      </c>
      <c r="B318" s="1242"/>
      <c r="C318" s="308"/>
      <c r="D318" s="308"/>
      <c r="E318" s="308"/>
      <c r="F318" s="308"/>
      <c r="G318" s="308"/>
      <c r="H318" s="309"/>
    </row>
    <row r="319" spans="1:8" ht="14.1" customHeight="1">
      <c r="A319" s="347"/>
      <c r="B319" s="83"/>
      <c r="C319" s="83"/>
      <c r="D319" s="83"/>
      <c r="E319" s="83"/>
      <c r="F319" s="83"/>
      <c r="G319" s="83"/>
      <c r="H319" s="318"/>
    </row>
    <row r="320" spans="1:8" ht="14.1" customHeight="1">
      <c r="A320" s="347" t="s">
        <v>744</v>
      </c>
      <c r="B320" s="83"/>
      <c r="C320" s="83"/>
      <c r="D320" s="242">
        <v>200000</v>
      </c>
      <c r="E320" s="83"/>
      <c r="F320" s="83"/>
      <c r="G320" s="83"/>
      <c r="H320" s="318"/>
    </row>
    <row r="321" spans="1:8" ht="14.1" customHeight="1">
      <c r="A321" s="347" t="s">
        <v>398</v>
      </c>
      <c r="B321" s="83"/>
      <c r="C321" s="83"/>
      <c r="D321" s="242">
        <v>20000</v>
      </c>
      <c r="E321" s="83"/>
      <c r="F321" s="83"/>
      <c r="G321" s="83"/>
      <c r="H321" s="318"/>
    </row>
    <row r="322" spans="1:8" ht="14.1" customHeight="1">
      <c r="A322" s="347" t="s">
        <v>863</v>
      </c>
      <c r="B322" s="83"/>
      <c r="C322" s="83"/>
      <c r="D322" s="242">
        <v>5000</v>
      </c>
      <c r="E322" s="83"/>
      <c r="F322" s="83"/>
      <c r="G322" s="83"/>
      <c r="H322" s="318"/>
    </row>
    <row r="323" spans="1:8" ht="14.1" customHeight="1">
      <c r="A323" s="347" t="s">
        <v>745</v>
      </c>
      <c r="B323" s="83"/>
      <c r="C323" s="83"/>
      <c r="D323" s="242">
        <v>40000</v>
      </c>
      <c r="E323" s="83"/>
      <c r="F323" s="83"/>
      <c r="G323" s="83"/>
      <c r="H323" s="318"/>
    </row>
    <row r="324" spans="1:8" ht="14.1" customHeight="1">
      <c r="A324" s="347" t="s">
        <v>746</v>
      </c>
      <c r="B324" s="83"/>
      <c r="C324" s="83"/>
      <c r="D324" s="242">
        <v>150000</v>
      </c>
      <c r="E324" s="83"/>
      <c r="F324" s="83"/>
      <c r="G324" s="83"/>
      <c r="H324" s="318"/>
    </row>
    <row r="325" spans="1:8" ht="14.1" customHeight="1">
      <c r="A325" s="347" t="s">
        <v>864</v>
      </c>
      <c r="B325" s="83"/>
      <c r="C325" s="83"/>
      <c r="D325" s="83"/>
      <c r="E325" s="83"/>
      <c r="F325" s="83"/>
      <c r="G325" s="83"/>
      <c r="H325" s="318"/>
    </row>
    <row r="326" spans="1:8" ht="14.1" customHeight="1">
      <c r="A326" s="306">
        <v>221</v>
      </c>
      <c r="B326" s="74" t="s">
        <v>301</v>
      </c>
      <c r="C326" s="65"/>
      <c r="D326" s="65"/>
      <c r="E326" s="83"/>
      <c r="F326" s="83"/>
      <c r="G326" s="65">
        <f>D320</f>
        <v>200000</v>
      </c>
      <c r="H326" s="314"/>
    </row>
    <row r="327" spans="1:8" ht="14.1" customHeight="1">
      <c r="A327" s="296">
        <v>6324</v>
      </c>
      <c r="B327" s="345" t="s">
        <v>398</v>
      </c>
      <c r="C327" s="65"/>
      <c r="D327" s="65"/>
      <c r="E327" s="83"/>
      <c r="F327" s="83"/>
      <c r="G327" s="65">
        <f>D321</f>
        <v>20000</v>
      </c>
      <c r="H327" s="314"/>
    </row>
    <row r="328" spans="1:8" ht="14.1" customHeight="1">
      <c r="A328" s="296">
        <v>6350</v>
      </c>
      <c r="B328" s="345" t="s">
        <v>402</v>
      </c>
      <c r="C328" s="65"/>
      <c r="D328" s="65"/>
      <c r="E328" s="83"/>
      <c r="F328" s="83"/>
      <c r="G328" s="65">
        <f>D322</f>
        <v>5000</v>
      </c>
      <c r="H328" s="314"/>
    </row>
    <row r="329" spans="1:8" ht="14.1" customHeight="1">
      <c r="A329" s="307">
        <v>44522</v>
      </c>
      <c r="B329" s="65" t="s">
        <v>488</v>
      </c>
      <c r="C329" s="65"/>
      <c r="D329" s="245">
        <v>0.185</v>
      </c>
      <c r="E329" s="83"/>
      <c r="F329" s="83"/>
      <c r="G329" s="65">
        <f>SUM(D320:D322)*D329</f>
        <v>41625</v>
      </c>
      <c r="H329" s="314"/>
    </row>
    <row r="330" spans="1:8" ht="14.1" customHeight="1">
      <c r="A330" s="316"/>
      <c r="B330" s="75">
        <v>520</v>
      </c>
      <c r="C330" s="106" t="s">
        <v>170</v>
      </c>
      <c r="D330" s="66"/>
      <c r="E330" s="67"/>
      <c r="F330" s="67"/>
      <c r="G330" s="66"/>
      <c r="H330" s="317">
        <f>SUM(G326:G329)</f>
        <v>266625</v>
      </c>
    </row>
    <row r="331" spans="1:8" ht="14.1" customHeight="1">
      <c r="A331" s="347" t="s">
        <v>865</v>
      </c>
      <c r="B331" s="71"/>
      <c r="C331" s="70"/>
      <c r="D331" s="65"/>
      <c r="E331" s="83"/>
      <c r="F331" s="83"/>
      <c r="G331" s="65"/>
      <c r="H331" s="314"/>
    </row>
    <row r="332" spans="1:8" ht="14.1" customHeight="1">
      <c r="A332" s="295">
        <v>6970</v>
      </c>
      <c r="B332" s="69" t="s">
        <v>419</v>
      </c>
      <c r="C332" s="70"/>
      <c r="D332" s="65"/>
      <c r="E332" s="83"/>
      <c r="F332" s="83"/>
      <c r="G332" s="65">
        <f>D323</f>
        <v>40000</v>
      </c>
      <c r="H332" s="314"/>
    </row>
    <row r="333" spans="1:8" ht="14.1" customHeight="1">
      <c r="A333" s="307"/>
      <c r="B333" s="64">
        <v>1982</v>
      </c>
      <c r="C333" s="65" t="s">
        <v>274</v>
      </c>
      <c r="D333" s="65"/>
      <c r="E333" s="83"/>
      <c r="F333" s="83"/>
      <c r="G333" s="65"/>
      <c r="H333" s="314">
        <f>G332</f>
        <v>40000</v>
      </c>
    </row>
    <row r="334" spans="1:8" ht="14.1" customHeight="1">
      <c r="A334" s="307"/>
      <c r="B334" s="71"/>
      <c r="C334" s="70"/>
      <c r="D334" s="65"/>
      <c r="E334" s="83"/>
      <c r="F334" s="83"/>
      <c r="G334" s="65"/>
      <c r="H334" s="314"/>
    </row>
    <row r="335" spans="1:8" ht="14.1" customHeight="1">
      <c r="A335" s="347" t="s">
        <v>866</v>
      </c>
      <c r="B335" s="83"/>
      <c r="C335" s="83"/>
      <c r="D335" s="83"/>
      <c r="E335" s="83"/>
      <c r="F335" s="83"/>
      <c r="G335" s="83"/>
      <c r="H335" s="318"/>
    </row>
    <row r="336" spans="1:8" ht="14.1" customHeight="1">
      <c r="A336" s="307">
        <v>279</v>
      </c>
      <c r="B336" s="65" t="s">
        <v>733</v>
      </c>
      <c r="C336" s="65"/>
      <c r="D336" s="65"/>
      <c r="E336" s="83"/>
      <c r="F336" s="83"/>
      <c r="G336" s="65">
        <f>SUM(H337:H338)</f>
        <v>177750</v>
      </c>
      <c r="H336" s="314"/>
    </row>
    <row r="337" spans="1:8" ht="14.1" customHeight="1">
      <c r="A337" s="307"/>
      <c r="B337" s="65">
        <v>44312</v>
      </c>
      <c r="C337" s="65" t="s">
        <v>484</v>
      </c>
      <c r="D337" s="245">
        <v>0.185</v>
      </c>
      <c r="E337" s="83"/>
      <c r="F337" s="83"/>
      <c r="G337" s="65"/>
      <c r="H337" s="314">
        <f>H338*D337</f>
        <v>27750</v>
      </c>
    </row>
    <row r="338" spans="1:8" ht="14.1" customHeight="1">
      <c r="A338" s="307"/>
      <c r="B338" s="65">
        <v>8220</v>
      </c>
      <c r="C338" s="65" t="s">
        <v>734</v>
      </c>
      <c r="D338" s="65"/>
      <c r="E338" s="83"/>
      <c r="F338" s="83"/>
      <c r="G338" s="65"/>
      <c r="H338" s="314">
        <f>D324</f>
        <v>150000</v>
      </c>
    </row>
    <row r="339" spans="1:8" ht="14.1" customHeight="1">
      <c r="A339" s="271" t="s">
        <v>1111</v>
      </c>
      <c r="B339" s="299"/>
      <c r="C339" s="297"/>
      <c r="D339" s="297"/>
      <c r="E339" s="297"/>
      <c r="F339" s="297"/>
      <c r="G339" s="297"/>
      <c r="H339" s="301"/>
    </row>
    <row r="340" spans="1:8" ht="14.1" customHeight="1">
      <c r="A340" s="298">
        <f>A336</f>
        <v>279</v>
      </c>
      <c r="B340" s="298" t="str">
        <f>B336</f>
        <v>Créances sur cessions d’immobilisations</v>
      </c>
      <c r="C340" s="297"/>
      <c r="D340" s="297">
        <f>B338</f>
        <v>8220</v>
      </c>
      <c r="E340" s="297" t="str">
        <f>C338</f>
        <v>Produits de cessions d’éléments d’actifs corporelles</v>
      </c>
      <c r="F340" s="297"/>
      <c r="G340" s="297"/>
      <c r="H340" s="301">
        <f>G336</f>
        <v>177750</v>
      </c>
    </row>
    <row r="341" spans="1:8" ht="14.1" customHeight="1">
      <c r="A341" s="307"/>
      <c r="B341" s="65"/>
      <c r="C341" s="65"/>
      <c r="D341" s="65"/>
      <c r="E341" s="83"/>
      <c r="F341" s="83"/>
      <c r="G341" s="65"/>
      <c r="H341" s="314"/>
    </row>
    <row r="342" spans="1:8" ht="14.1" customHeight="1">
      <c r="A342" s="348" t="s">
        <v>742</v>
      </c>
      <c r="B342" s="108"/>
      <c r="C342" s="83"/>
      <c r="D342" s="83"/>
      <c r="E342" s="83"/>
      <c r="F342" s="83"/>
      <c r="G342" s="83"/>
      <c r="H342" s="318"/>
    </row>
    <row r="343" spans="1:8" ht="14.1" customHeight="1">
      <c r="A343" s="307"/>
      <c r="B343" s="65"/>
      <c r="C343" s="65"/>
      <c r="D343" s="65"/>
      <c r="E343" s="83"/>
      <c r="F343" s="83"/>
      <c r="G343" s="65"/>
      <c r="H343" s="314"/>
    </row>
    <row r="344" spans="1:8" ht="14.1" customHeight="1">
      <c r="A344" s="307">
        <v>812</v>
      </c>
      <c r="B344" s="65" t="s">
        <v>736</v>
      </c>
      <c r="C344" s="65"/>
      <c r="D344" s="65"/>
      <c r="E344" s="83"/>
      <c r="F344" s="83"/>
      <c r="G344" s="65">
        <f>D320</f>
        <v>200000</v>
      </c>
      <c r="H344" s="314"/>
    </row>
    <row r="345" spans="1:8" ht="14.1" customHeight="1">
      <c r="A345" s="307"/>
      <c r="B345" s="73">
        <v>221</v>
      </c>
      <c r="C345" s="74" t="s">
        <v>301</v>
      </c>
      <c r="D345" s="65"/>
      <c r="E345" s="83"/>
      <c r="F345" s="83"/>
      <c r="G345" s="65"/>
      <c r="H345" s="314">
        <f>G344</f>
        <v>200000</v>
      </c>
    </row>
    <row r="346" spans="1:8" ht="14.1" customHeight="1">
      <c r="A346" s="271" t="s">
        <v>1111</v>
      </c>
      <c r="B346" s="299"/>
      <c r="C346" s="297"/>
      <c r="D346" s="297"/>
      <c r="E346" s="297"/>
      <c r="F346" s="297"/>
      <c r="G346" s="297"/>
      <c r="H346" s="301"/>
    </row>
    <row r="347" spans="1:8" ht="14.1" customHeight="1">
      <c r="A347" s="298">
        <f>A344</f>
        <v>812</v>
      </c>
      <c r="B347" s="298" t="str">
        <f>B344</f>
        <v>Valeur comptables des éléments d’actifs cédés corporelles</v>
      </c>
      <c r="C347" s="297"/>
      <c r="D347" s="297">
        <f>B345</f>
        <v>221</v>
      </c>
      <c r="E347" s="297" t="str">
        <f>C345</f>
        <v>Terrains agricoles, forestiers, nu, bâtit</v>
      </c>
      <c r="F347" s="297"/>
      <c r="G347" s="297"/>
      <c r="H347" s="301">
        <f>G344</f>
        <v>200000</v>
      </c>
    </row>
    <row r="348" spans="1:8" ht="14.1" customHeight="1">
      <c r="A348" s="307"/>
      <c r="B348" s="73"/>
      <c r="C348" s="74"/>
      <c r="D348" s="65"/>
      <c r="E348" s="83"/>
      <c r="F348" s="83"/>
      <c r="G348" s="65"/>
      <c r="H348" s="314"/>
    </row>
    <row r="349" spans="1:8" ht="14.1" customHeight="1">
      <c r="A349" s="307"/>
      <c r="B349" s="73"/>
      <c r="C349" s="74"/>
      <c r="D349" s="65"/>
      <c r="E349" s="83"/>
      <c r="F349" s="83"/>
      <c r="G349" s="65"/>
      <c r="H349" s="314"/>
    </row>
    <row r="350" spans="1:8" ht="14.1" customHeight="1">
      <c r="A350" s="348" t="s">
        <v>747</v>
      </c>
      <c r="B350" s="108"/>
      <c r="C350" s="83"/>
      <c r="D350" s="83"/>
      <c r="E350" s="83"/>
      <c r="F350" s="83"/>
      <c r="G350" s="83"/>
      <c r="H350" s="318"/>
    </row>
    <row r="351" spans="1:8" ht="14.1" customHeight="1">
      <c r="A351" s="347"/>
      <c r="B351" s="83"/>
      <c r="C351" s="83"/>
      <c r="D351" s="83"/>
      <c r="E351" s="83"/>
      <c r="F351" s="83"/>
      <c r="G351" s="83"/>
      <c r="H351" s="318"/>
    </row>
    <row r="352" spans="1:8" ht="14.1" customHeight="1">
      <c r="A352" s="307">
        <v>1982</v>
      </c>
      <c r="B352" s="65" t="s">
        <v>274</v>
      </c>
      <c r="C352" s="65"/>
      <c r="D352" s="65"/>
      <c r="E352" s="83"/>
      <c r="F352" s="83"/>
      <c r="G352" s="65">
        <f>D323</f>
        <v>40000</v>
      </c>
      <c r="H352" s="314"/>
    </row>
    <row r="353" spans="1:8" ht="14.1" customHeight="1">
      <c r="A353" s="316"/>
      <c r="B353" s="66">
        <v>849</v>
      </c>
      <c r="C353" s="66" t="s">
        <v>748</v>
      </c>
      <c r="D353" s="113"/>
      <c r="E353" s="67"/>
      <c r="F353" s="67"/>
      <c r="G353" s="66"/>
      <c r="H353" s="317">
        <f>D323</f>
        <v>40000</v>
      </c>
    </row>
    <row r="354" spans="1:8" ht="14.1" customHeight="1">
      <c r="A354" s="271" t="s">
        <v>1111</v>
      </c>
      <c r="B354" s="299"/>
      <c r="C354" s="297"/>
      <c r="D354" s="297"/>
      <c r="E354" s="297"/>
      <c r="F354" s="297"/>
      <c r="G354" s="297"/>
      <c r="H354" s="301"/>
    </row>
    <row r="355" spans="1:8" ht="14.1" customHeight="1">
      <c r="A355" s="302">
        <f>A352</f>
        <v>1982</v>
      </c>
      <c r="B355" s="302" t="str">
        <f>B352</f>
        <v>Provisions sur des immobilisations</v>
      </c>
      <c r="C355" s="303"/>
      <c r="D355" s="303">
        <f>B353</f>
        <v>849</v>
      </c>
      <c r="E355" s="303" t="str">
        <f>C353</f>
        <v>Reprise sur provision immobilisation</v>
      </c>
      <c r="F355" s="303"/>
      <c r="G355" s="303"/>
      <c r="H355" s="320">
        <f>G352</f>
        <v>40000</v>
      </c>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sheetPr codeName="Feuil22"/>
  <dimension ref="A1:H642"/>
  <sheetViews>
    <sheetView workbookViewId="0">
      <pane ySplit="1" topLeftCell="A600" activePane="bottomLeft" state="frozen"/>
      <selection pane="bottomLeft" activeCell="B116" sqref="B116:F640"/>
    </sheetView>
  </sheetViews>
  <sheetFormatPr baseColWidth="10" defaultColWidth="24.42578125" defaultRowHeight="12.95" customHeight="1"/>
  <cols>
    <col min="1" max="1" width="9.28515625" style="604" customWidth="1"/>
    <col min="2" max="2" width="24.42578125" style="604"/>
    <col min="3" max="3" width="17" style="604" customWidth="1"/>
    <col min="4" max="4" width="14.5703125" style="604" customWidth="1"/>
    <col min="5" max="5" width="17.5703125" style="604" customWidth="1"/>
    <col min="6" max="6" width="9.5703125" style="604" customWidth="1"/>
    <col min="7" max="7" width="24.42578125" style="604" customWidth="1"/>
    <col min="8" max="8" width="18.85546875" style="604" customWidth="1"/>
    <col min="9" max="11" width="24.42578125" style="604" customWidth="1"/>
    <col min="12" max="16384" width="24.42578125" style="604"/>
  </cols>
  <sheetData>
    <row r="1" spans="1:8" ht="22.5" customHeight="1">
      <c r="A1" s="1697" t="s">
        <v>1664</v>
      </c>
      <c r="B1" s="1697"/>
      <c r="C1" s="1697"/>
      <c r="D1" s="1697"/>
      <c r="E1" s="1697"/>
      <c r="F1" s="1697"/>
      <c r="G1" s="1697"/>
      <c r="H1" s="1697"/>
    </row>
    <row r="2" spans="1:8" ht="12" customHeight="1"/>
    <row r="3" spans="1:8" ht="12" customHeight="1">
      <c r="A3" s="604" t="s">
        <v>1663</v>
      </c>
    </row>
    <row r="4" spans="1:8" ht="22.5" customHeight="1">
      <c r="A4" s="1644" t="str">
        <f>IF(H101-E101=0,"Votre bilan est équilibré, écart ci-dessous"," Votre bilan est déséquilibré, écart ci-dessous, Veuillez le réquilibrer SVP")</f>
        <v>Votre bilan est équilibré, écart ci-dessous</v>
      </c>
      <c r="B4" s="1644"/>
      <c r="C4" s="1644"/>
      <c r="D4" s="1644"/>
      <c r="E4" s="1644"/>
      <c r="F4" s="1644"/>
      <c r="G4" s="1644"/>
      <c r="H4" s="1644"/>
    </row>
    <row r="5" spans="1:8" ht="12.95" customHeight="1">
      <c r="A5" s="1287"/>
      <c r="B5" s="1335" t="s">
        <v>5</v>
      </c>
      <c r="C5" s="1288" t="s">
        <v>6</v>
      </c>
      <c r="D5" s="1289" t="s">
        <v>180</v>
      </c>
      <c r="E5" s="1288" t="s">
        <v>7</v>
      </c>
      <c r="F5" s="1290"/>
      <c r="G5" s="1335" t="s">
        <v>8</v>
      </c>
      <c r="H5" s="1288" t="s">
        <v>7</v>
      </c>
    </row>
    <row r="6" spans="1:8" ht="12.95" customHeight="1">
      <c r="A6" s="1291"/>
      <c r="B6" s="1295" t="s">
        <v>181</v>
      </c>
      <c r="C6" s="1292"/>
      <c r="D6" s="1292"/>
      <c r="E6" s="1293">
        <f>SUM(E7,E22,E49)</f>
        <v>49800000</v>
      </c>
      <c r="F6" s="1294"/>
      <c r="G6" s="1295" t="s">
        <v>182</v>
      </c>
      <c r="H6" s="1292">
        <f>SUM(H7:H13)</f>
        <v>50000000</v>
      </c>
    </row>
    <row r="7" spans="1:8" ht="12.95" customHeight="1">
      <c r="A7" s="1362">
        <v>210</v>
      </c>
      <c r="B7" s="1363" t="s">
        <v>490</v>
      </c>
      <c r="C7" s="1364">
        <f>SUM(C8:C21)</f>
        <v>23500000</v>
      </c>
      <c r="D7" s="1364">
        <f>SUM(D8:D21)</f>
        <v>10900000</v>
      </c>
      <c r="E7" s="1365">
        <f>SUM(E8:E21)</f>
        <v>12600000</v>
      </c>
      <c r="F7" s="1299">
        <f>Compte!A3</f>
        <v>101</v>
      </c>
      <c r="G7" s="1336" t="str">
        <f>Compte!B3</f>
        <v>Capital Social</v>
      </c>
      <c r="H7" s="1093">
        <v>50000000</v>
      </c>
    </row>
    <row r="8" spans="1:8" ht="12.95" customHeight="1">
      <c r="A8" s="1296">
        <f>Compte!A76</f>
        <v>211</v>
      </c>
      <c r="B8" s="1297" t="str">
        <f>Compte!B76</f>
        <v>Frais recherche et développement</v>
      </c>
      <c r="C8" s="1094">
        <v>5000000</v>
      </c>
      <c r="D8" s="1095"/>
      <c r="E8" s="1298"/>
      <c r="F8" s="1299" t="str">
        <f>Compte!A4</f>
        <v>1011</v>
      </c>
      <c r="G8" s="1336" t="str">
        <f>Compte!B4</f>
        <v>Capital souscrit, non appelé</v>
      </c>
      <c r="H8" s="1279"/>
    </row>
    <row r="9" spans="1:8" ht="12.95" customHeight="1">
      <c r="A9" s="1296">
        <f>Compte!A77</f>
        <v>2811</v>
      </c>
      <c r="B9" s="1297" t="str">
        <f>Compte!B77</f>
        <v>Amortissements. : frais R &amp;D</v>
      </c>
      <c r="C9" s="1096"/>
      <c r="D9" s="1094">
        <v>2000000</v>
      </c>
      <c r="E9" s="1300">
        <f>C8-D9</f>
        <v>3000000</v>
      </c>
      <c r="F9" s="1299">
        <f>Compte!A5</f>
        <v>1012</v>
      </c>
      <c r="G9" s="1336" t="str">
        <f>Compte!B5</f>
        <v>Capital souscrit, appelé, non versé</v>
      </c>
      <c r="H9" s="1279"/>
    </row>
    <row r="10" spans="1:8" ht="12.95" customHeight="1">
      <c r="A10" s="1296">
        <f>Compte!A78</f>
        <v>212</v>
      </c>
      <c r="B10" s="1297" t="str">
        <f>Compte!B78</f>
        <v>Brevets, licences, concessions</v>
      </c>
      <c r="C10" s="1094">
        <v>10000000</v>
      </c>
      <c r="D10" s="1095"/>
      <c r="E10" s="1298"/>
      <c r="F10" s="1299">
        <f>Compte!A6</f>
        <v>1013</v>
      </c>
      <c r="G10" s="1336" t="str">
        <f>Compte!B6</f>
        <v>Capital souscrit, appelé, versé, non amorti</v>
      </c>
      <c r="H10" s="1279"/>
    </row>
    <row r="11" spans="1:8" ht="12.95" customHeight="1">
      <c r="A11" s="1296">
        <f>Compte!A79</f>
        <v>2812</v>
      </c>
      <c r="B11" s="1297" t="str">
        <f>Compte!B79</f>
        <v>Amortissements. : brevets, licences</v>
      </c>
      <c r="C11" s="1096"/>
      <c r="D11" s="1094">
        <v>5000000</v>
      </c>
      <c r="E11" s="1300">
        <f t="shared" ref="E11" si="0">C10-D11</f>
        <v>5000000</v>
      </c>
      <c r="F11" s="1299">
        <f>Compte!A7</f>
        <v>1020</v>
      </c>
      <c r="G11" s="1336" t="str">
        <f>Compte!B7</f>
        <v>Capital par dotation</v>
      </c>
      <c r="H11" s="1279"/>
    </row>
    <row r="12" spans="1:8" ht="12.95" customHeight="1">
      <c r="A12" s="1296">
        <f>Compte!A80</f>
        <v>213</v>
      </c>
      <c r="B12" s="1297" t="str">
        <f>Compte!B80</f>
        <v>Logiciels &amp; marques</v>
      </c>
      <c r="C12" s="1094"/>
      <c r="D12" s="1095"/>
      <c r="E12" s="1298"/>
      <c r="F12" s="1299">
        <f>Compte!A8</f>
        <v>103</v>
      </c>
      <c r="G12" s="1336" t="str">
        <f>Compte!B8</f>
        <v>Capital personnel</v>
      </c>
      <c r="H12" s="1279"/>
    </row>
    <row r="13" spans="1:8" ht="12.95" customHeight="1">
      <c r="A13" s="1296">
        <f>Compte!A81</f>
        <v>2813</v>
      </c>
      <c r="B13" s="1297" t="str">
        <f>Compte!B81</f>
        <v>Amortissements des logiciels &amp;marques</v>
      </c>
      <c r="C13" s="1096"/>
      <c r="D13" s="1094"/>
      <c r="E13" s="1300">
        <f t="shared" ref="E13" si="1">C12-D13</f>
        <v>0</v>
      </c>
      <c r="F13" s="1299">
        <f>Compte!A9</f>
        <v>104</v>
      </c>
      <c r="G13" s="1336" t="str">
        <f>Compte!B9</f>
        <v>Compte de l'exploitant ou privée</v>
      </c>
      <c r="H13" s="1279"/>
    </row>
    <row r="14" spans="1:8" ht="12.95" customHeight="1">
      <c r="A14" s="1296">
        <f>Compte!A82</f>
        <v>215</v>
      </c>
      <c r="B14" s="1297" t="str">
        <f>Compte!B82</f>
        <v>Fonds commercial</v>
      </c>
      <c r="C14" s="1094">
        <v>5000000</v>
      </c>
      <c r="D14" s="1095"/>
      <c r="E14" s="1298"/>
      <c r="F14" s="1301"/>
      <c r="G14" s="1346" t="s">
        <v>1610</v>
      </c>
      <c r="H14" s="1302">
        <f>SUM(H15:H19)</f>
        <v>0</v>
      </c>
    </row>
    <row r="15" spans="1:8" ht="12.95" customHeight="1">
      <c r="A15" s="1296">
        <f>Compte!A83</f>
        <v>2815</v>
      </c>
      <c r="B15" s="1297" t="str">
        <f>Compte!B83</f>
        <v>Amortissements. du fonds commercial</v>
      </c>
      <c r="C15" s="1096"/>
      <c r="D15" s="1094">
        <v>3000000</v>
      </c>
      <c r="E15" s="1300">
        <f t="shared" ref="E15" si="2">C14-D15</f>
        <v>2000000</v>
      </c>
      <c r="F15" s="1299">
        <f>Compte!A10</f>
        <v>1051</v>
      </c>
      <c r="G15" s="1347" t="str">
        <f>Compte!B10</f>
        <v>Primes d'émission</v>
      </c>
      <c r="H15" s="1279"/>
    </row>
    <row r="16" spans="1:8" ht="12.95" customHeight="1">
      <c r="A16" s="1296">
        <f>Compte!A84</f>
        <v>216</v>
      </c>
      <c r="B16" s="1297" t="str">
        <f>Compte!B84</f>
        <v>Droit au bail</v>
      </c>
      <c r="C16" s="1094">
        <v>1000000</v>
      </c>
      <c r="D16" s="1095"/>
      <c r="E16" s="1298"/>
      <c r="F16" s="1299">
        <f>Compte!A11</f>
        <v>1052</v>
      </c>
      <c r="G16" s="1347" t="str">
        <f>Compte!B11</f>
        <v>Primes d'apport</v>
      </c>
      <c r="H16" s="1279"/>
    </row>
    <row r="17" spans="1:8" ht="12.95" customHeight="1">
      <c r="A17" s="1296">
        <f>Compte!A85</f>
        <v>2816</v>
      </c>
      <c r="B17" s="1297" t="str">
        <f>Compte!B85</f>
        <v>Amortissements du droit au bail</v>
      </c>
      <c r="C17" s="1096"/>
      <c r="D17" s="1094">
        <v>200000</v>
      </c>
      <c r="E17" s="1300">
        <f t="shared" ref="E17" si="3">C16-D17</f>
        <v>800000</v>
      </c>
      <c r="F17" s="1299">
        <f>Compte!A12</f>
        <v>1053</v>
      </c>
      <c r="G17" s="1347" t="str">
        <f>Compte!B12</f>
        <v>Primes de fusion</v>
      </c>
      <c r="H17" s="1279"/>
    </row>
    <row r="18" spans="1:8" ht="12.95" customHeight="1">
      <c r="A18" s="1296">
        <f>Compte!A86</f>
        <v>217</v>
      </c>
      <c r="B18" s="1297" t="str">
        <f>Compte!B86</f>
        <v>Investissements de création</v>
      </c>
      <c r="C18" s="1094">
        <v>2000000</v>
      </c>
      <c r="D18" s="1095"/>
      <c r="E18" s="1298"/>
      <c r="F18" s="1299">
        <f>Compte!A13</f>
        <v>1054</v>
      </c>
      <c r="G18" s="1347" t="str">
        <f>Compte!B13</f>
        <v>Primes de conversion</v>
      </c>
      <c r="H18" s="1279"/>
    </row>
    <row r="19" spans="1:8" ht="12.95" customHeight="1">
      <c r="A19" s="1296">
        <f>Compte!A87</f>
        <v>2817</v>
      </c>
      <c r="B19" s="1297" t="str">
        <f>Compte!B87</f>
        <v>Amont. : investissements. création</v>
      </c>
      <c r="C19" s="1096"/>
      <c r="D19" s="1094">
        <v>300000</v>
      </c>
      <c r="E19" s="1300">
        <f t="shared" ref="E19" si="4">C18-D19</f>
        <v>1700000</v>
      </c>
      <c r="F19" s="1299">
        <f>Compte!A14</f>
        <v>1058</v>
      </c>
      <c r="G19" s="1347" t="str">
        <f>Compte!B14</f>
        <v>Autres primes</v>
      </c>
      <c r="H19" s="1279"/>
    </row>
    <row r="20" spans="1:8" ht="12.95" customHeight="1">
      <c r="A20" s="1296">
        <f>Compte!A88</f>
        <v>218</v>
      </c>
      <c r="B20" s="1297" t="str">
        <f>Compte!B88</f>
        <v>Autres droits, valeurs incorporelles.</v>
      </c>
      <c r="C20" s="1094">
        <v>500000</v>
      </c>
      <c r="D20" s="1095"/>
      <c r="E20" s="1298"/>
      <c r="F20" s="1303"/>
      <c r="G20" s="1348" t="s">
        <v>492</v>
      </c>
      <c r="H20" s="1304">
        <f>SUM(H21:H26)</f>
        <v>13000000</v>
      </c>
    </row>
    <row r="21" spans="1:8" ht="12.95" customHeight="1">
      <c r="A21" s="1296">
        <f>Compte!A89</f>
        <v>2818</v>
      </c>
      <c r="B21" s="1297" t="str">
        <f>Compte!B89</f>
        <v>Amortissements. autres  valeurs incorporelles.</v>
      </c>
      <c r="C21" s="1096"/>
      <c r="D21" s="1094">
        <v>400000</v>
      </c>
      <c r="E21" s="1300">
        <f t="shared" ref="E21" si="5">C20-D21</f>
        <v>100000</v>
      </c>
      <c r="F21" s="1305">
        <f>Compte!A15</f>
        <v>111</v>
      </c>
      <c r="G21" s="1349" t="str">
        <f>Compte!B15</f>
        <v>Réserves légales</v>
      </c>
      <c r="H21" s="1093">
        <v>10000000</v>
      </c>
    </row>
    <row r="22" spans="1:8" ht="12.95" customHeight="1">
      <c r="A22" s="1294" t="s">
        <v>183</v>
      </c>
      <c r="B22" s="1295"/>
      <c r="C22" s="1306">
        <f>SUM(C23:C48)</f>
        <v>49000000</v>
      </c>
      <c r="D22" s="1306">
        <f>SUM(D23:D48)</f>
        <v>16800000</v>
      </c>
      <c r="E22" s="1306">
        <f t="shared" ref="E22" si="6">SUM(E23:E48)</f>
        <v>32200000</v>
      </c>
      <c r="F22" s="1305">
        <f>Compte!A16</f>
        <v>112</v>
      </c>
      <c r="G22" s="1349" t="str">
        <f>Compte!B16</f>
        <v>Réserves statutaires ou contractuelles</v>
      </c>
      <c r="H22" s="1093">
        <v>1000000</v>
      </c>
    </row>
    <row r="23" spans="1:8" ht="12.95" customHeight="1">
      <c r="A23" s="1305">
        <f>Compte!A90</f>
        <v>221</v>
      </c>
      <c r="B23" s="1307" t="str">
        <f>Compte!B90</f>
        <v>Terrains agricoles, forestiers, nu, bâtit</v>
      </c>
      <c r="C23" s="1093">
        <v>10000000</v>
      </c>
      <c r="D23" s="1093"/>
      <c r="E23" s="1308">
        <f>C23-D23</f>
        <v>10000000</v>
      </c>
      <c r="F23" s="1305">
        <f>Compte!A17</f>
        <v>113</v>
      </c>
      <c r="G23" s="1349" t="str">
        <f>Compte!B17</f>
        <v>Réserves réglementées</v>
      </c>
      <c r="H23" s="1093">
        <v>200000</v>
      </c>
    </row>
    <row r="24" spans="1:8" ht="12.95" customHeight="1">
      <c r="A24" s="1305">
        <f>Compte!A91</f>
        <v>231</v>
      </c>
      <c r="B24" s="1307" t="str">
        <f>Compte!B91</f>
        <v>Bâtiments sur sol propre</v>
      </c>
      <c r="C24" s="1094">
        <v>10000000</v>
      </c>
      <c r="D24" s="1095"/>
      <c r="E24" s="1298"/>
      <c r="F24" s="1305">
        <f>Compte!A18</f>
        <v>1181</v>
      </c>
      <c r="G24" s="1349" t="str">
        <f>Compte!B18</f>
        <v>Réserves facultatives et diverses</v>
      </c>
      <c r="H24" s="1093">
        <v>900000</v>
      </c>
    </row>
    <row r="25" spans="1:8" ht="12.95" customHeight="1">
      <c r="A25" s="1305">
        <f>Compte!A92</f>
        <v>2831</v>
      </c>
      <c r="B25" s="1307" t="str">
        <f>Compte!B92</f>
        <v>Amort. bâtim. industriels. sol propre</v>
      </c>
      <c r="C25" s="1096"/>
      <c r="D25" s="1094">
        <v>4000000</v>
      </c>
      <c r="E25" s="1300">
        <f>C24-D25</f>
        <v>6000000</v>
      </c>
      <c r="F25" s="1305">
        <f>Compte!A19</f>
        <v>121</v>
      </c>
      <c r="G25" s="1349" t="str">
        <f>Compte!B19</f>
        <v>Report à nouveau créditeur (+)</v>
      </c>
      <c r="H25" s="1093">
        <v>900000</v>
      </c>
    </row>
    <row r="26" spans="1:8" ht="12.95" customHeight="1">
      <c r="A26" s="1305">
        <f>Compte!A93</f>
        <v>232</v>
      </c>
      <c r="B26" s="1307" t="str">
        <f>Compte!B93</f>
        <v>Bâtiments sur sol d'autrui</v>
      </c>
      <c r="C26" s="1094"/>
      <c r="D26" s="1095"/>
      <c r="E26" s="1298"/>
      <c r="F26" s="1305">
        <f>Compte!A20</f>
        <v>129</v>
      </c>
      <c r="G26" s="1349" t="str">
        <f>Compte!B20</f>
        <v>Report à nouveau débiteur(-)</v>
      </c>
      <c r="H26" s="1279"/>
    </row>
    <row r="27" spans="1:8" ht="12.95" customHeight="1">
      <c r="A27" s="1305">
        <f>Compte!A94</f>
        <v>2832</v>
      </c>
      <c r="B27" s="1307" t="str">
        <f>Compte!B94</f>
        <v>Amort. bâtiments. industriels. sol autrui</v>
      </c>
      <c r="C27" s="1096"/>
      <c r="D27" s="1094"/>
      <c r="E27" s="1300">
        <f t="shared" ref="E27" si="7">C26-D27</f>
        <v>0</v>
      </c>
      <c r="F27" s="1301"/>
      <c r="G27" s="1346" t="s">
        <v>1357</v>
      </c>
      <c r="H27" s="1302">
        <f>SUM(H28:H29)</f>
        <v>50000</v>
      </c>
    </row>
    <row r="28" spans="1:8" ht="12.95" customHeight="1">
      <c r="A28" s="1305">
        <f>Compte!A95</f>
        <v>233</v>
      </c>
      <c r="B28" s="1307" t="str">
        <f>Compte!B95</f>
        <v>Ouvrages d'infrastructure</v>
      </c>
      <c r="C28" s="1094"/>
      <c r="D28" s="1095"/>
      <c r="E28" s="1298"/>
      <c r="F28" s="1343">
        <f>Compte!A21</f>
        <v>131</v>
      </c>
      <c r="G28" s="1350" t="str">
        <f>Compte!B21</f>
        <v>Résultat de l'exercice bénéfice/perte</v>
      </c>
      <c r="H28" s="1279"/>
    </row>
    <row r="29" spans="1:8" ht="12.95" customHeight="1">
      <c r="A29" s="1305">
        <f>Compte!A96</f>
        <v>2833</v>
      </c>
      <c r="B29" s="1307" t="str">
        <f>Compte!B96</f>
        <v>Amortissements. : ouvrages infrastructure</v>
      </c>
      <c r="C29" s="1096"/>
      <c r="D29" s="1094"/>
      <c r="E29" s="1300">
        <f t="shared" ref="E29" si="8">C28-D29</f>
        <v>0</v>
      </c>
      <c r="F29" s="1343">
        <f>Compte!A22</f>
        <v>139</v>
      </c>
      <c r="G29" s="1350" t="str">
        <f>Compte!B22</f>
        <v>Résultat en attente d'affectation</v>
      </c>
      <c r="H29" s="1279">
        <v>50000</v>
      </c>
    </row>
    <row r="30" spans="1:8" ht="12.95" customHeight="1">
      <c r="A30" s="1305">
        <f>Compte!A97</f>
        <v>234</v>
      </c>
      <c r="B30" s="1307" t="str">
        <f>Compte!B97</f>
        <v>Installations techniques</v>
      </c>
      <c r="C30" s="1094">
        <v>5000000</v>
      </c>
      <c r="D30" s="1095"/>
      <c r="E30" s="1298"/>
      <c r="F30" s="1301"/>
      <c r="G30" s="1346" t="s">
        <v>1607</v>
      </c>
      <c r="H30" s="1302">
        <f>SUM(H31,H32)</f>
        <v>150000</v>
      </c>
    </row>
    <row r="31" spans="1:8" ht="12.95" customHeight="1">
      <c r="A31" s="1305">
        <f>Compte!A98</f>
        <v>2834</v>
      </c>
      <c r="B31" s="1307" t="str">
        <f>Compte!B98</f>
        <v>Amort. : installations. techniques</v>
      </c>
      <c r="C31" s="1096"/>
      <c r="D31" s="1094">
        <v>2000000</v>
      </c>
      <c r="E31" s="1300">
        <f t="shared" ref="E31" si="9">C30-D31</f>
        <v>3000000</v>
      </c>
      <c r="F31" s="1309">
        <f>Compte!A23</f>
        <v>140</v>
      </c>
      <c r="G31" s="1351" t="str">
        <f>Compte!B23</f>
        <v>Subventions d'investissement</v>
      </c>
      <c r="H31" s="1344">
        <v>150000</v>
      </c>
    </row>
    <row r="32" spans="1:8" ht="12.95" customHeight="1">
      <c r="A32" s="1305">
        <f>Compte!A99</f>
        <v>235</v>
      </c>
      <c r="B32" s="1307" t="str">
        <f>Compte!B99</f>
        <v>Aménagement de bureaux</v>
      </c>
      <c r="C32" s="1094">
        <v>2000000</v>
      </c>
      <c r="D32" s="1095"/>
      <c r="E32" s="1298"/>
      <c r="F32" s="1309">
        <f>Compte!A24</f>
        <v>150</v>
      </c>
      <c r="G32" s="1351" t="str">
        <f>Compte!B24</f>
        <v>Provisions réglementées et fonds assimilés</v>
      </c>
      <c r="H32" s="1344"/>
    </row>
    <row r="33" spans="1:8" ht="12.95" customHeight="1">
      <c r="A33" s="1305">
        <f>Compte!A100</f>
        <v>2835</v>
      </c>
      <c r="B33" s="1307" t="str">
        <f>Compte!B100</f>
        <v>Amortissements. : aménagement. bureaux</v>
      </c>
      <c r="C33" s="1096"/>
      <c r="D33" s="1094">
        <v>1000000</v>
      </c>
      <c r="E33" s="1300">
        <f t="shared" ref="E33" si="10">C32-D33</f>
        <v>1000000</v>
      </c>
      <c r="F33" s="1300"/>
      <c r="G33" s="1352" t="s">
        <v>184</v>
      </c>
      <c r="H33" s="1310">
        <f>SUM(H6,H14,H20,H27,H30)</f>
        <v>63200000</v>
      </c>
    </row>
    <row r="34" spans="1:8" ht="12.95" customHeight="1">
      <c r="A34" s="1305">
        <f>Compte!A101</f>
        <v>241</v>
      </c>
      <c r="B34" s="1307" t="str">
        <f>Compte!B101</f>
        <v>Matériel, outillage industriel et commercial</v>
      </c>
      <c r="C34" s="1094">
        <v>3000000</v>
      </c>
      <c r="D34" s="1095"/>
      <c r="E34" s="1298"/>
      <c r="F34" s="1311"/>
      <c r="G34" s="1353"/>
      <c r="H34" s="1312"/>
    </row>
    <row r="35" spans="1:8" ht="12.95" customHeight="1">
      <c r="A35" s="1305">
        <f>Compte!A102</f>
        <v>2841</v>
      </c>
      <c r="B35" s="1307" t="str">
        <f>Compte!B102</f>
        <v>Amort. mat-outillage industriels.</v>
      </c>
      <c r="C35" s="1096"/>
      <c r="D35" s="1094">
        <v>2000000</v>
      </c>
      <c r="E35" s="1300">
        <f t="shared" ref="E35" si="11">C34-D35</f>
        <v>1000000</v>
      </c>
      <c r="F35" s="1280"/>
      <c r="G35" s="1354"/>
      <c r="H35" s="1280"/>
    </row>
    <row r="36" spans="1:8" ht="12.95" customHeight="1">
      <c r="A36" s="1305">
        <f>Compte!A103</f>
        <v>242</v>
      </c>
      <c r="B36" s="1307" t="str">
        <f>Compte!B103</f>
        <v>Matériel et outillage agricole</v>
      </c>
      <c r="C36" s="1094"/>
      <c r="D36" s="1095"/>
      <c r="E36" s="1298"/>
      <c r="F36" s="1312"/>
      <c r="G36" s="1353"/>
      <c r="H36" s="1312"/>
    </row>
    <row r="37" spans="1:8" ht="12.95" customHeight="1">
      <c r="A37" s="1305">
        <f>Compte!A104</f>
        <v>2842</v>
      </c>
      <c r="B37" s="1307" t="str">
        <f>Compte!B104</f>
        <v>Amort. mat-outillage agricole</v>
      </c>
      <c r="C37" s="1096"/>
      <c r="D37" s="1094"/>
      <c r="E37" s="1300">
        <f t="shared" ref="E37" si="12">C36-D37</f>
        <v>0</v>
      </c>
      <c r="F37" s="1312"/>
      <c r="G37" s="1353"/>
      <c r="H37" s="1312"/>
    </row>
    <row r="38" spans="1:8" ht="12.95" customHeight="1">
      <c r="A38" s="1305">
        <f>Compte!A105</f>
        <v>243</v>
      </c>
      <c r="B38" s="1307" t="str">
        <f>Compte!B105</f>
        <v>Matériel informatique</v>
      </c>
      <c r="C38" s="1094">
        <v>2000000</v>
      </c>
      <c r="D38" s="1095"/>
      <c r="E38" s="1298"/>
      <c r="F38" s="1312"/>
      <c r="G38" s="1353"/>
      <c r="H38" s="1312"/>
    </row>
    <row r="39" spans="1:8" ht="12.95" customHeight="1">
      <c r="A39" s="1305">
        <f>Compte!A106</f>
        <v>2843</v>
      </c>
      <c r="B39" s="1307" t="str">
        <f>Compte!B106</f>
        <v>Amort. Matériel informatique</v>
      </c>
      <c r="C39" s="1096"/>
      <c r="D39" s="1094">
        <v>800000</v>
      </c>
      <c r="E39" s="1300">
        <f t="shared" ref="E39" si="13">C38-D39</f>
        <v>1200000</v>
      </c>
      <c r="F39" s="1291"/>
      <c r="G39" s="1355" t="s">
        <v>1606</v>
      </c>
      <c r="H39" s="1304">
        <f>SUM(H40:H46)</f>
        <v>10400000</v>
      </c>
    </row>
    <row r="40" spans="1:8" ht="12.95" customHeight="1">
      <c r="A40" s="1305">
        <f>Compte!A107</f>
        <v>244</v>
      </c>
      <c r="B40" s="1307" t="str">
        <f>Compte!B107</f>
        <v>Matériel mobilier</v>
      </c>
      <c r="C40" s="1094">
        <v>5000000</v>
      </c>
      <c r="D40" s="1095"/>
      <c r="E40" s="1298"/>
      <c r="F40" s="1345">
        <f>Compte!A25</f>
        <v>161</v>
      </c>
      <c r="G40" s="1356" t="str">
        <f>Compte!B25</f>
        <v>Emprunts obligataires</v>
      </c>
      <c r="H40" s="1344"/>
    </row>
    <row r="41" spans="1:8" ht="12.95" customHeight="1">
      <c r="A41" s="1305">
        <f>Compte!A108</f>
        <v>2844</v>
      </c>
      <c r="B41" s="1307" t="str">
        <f>Compte!B108</f>
        <v>Amortissement mobilier</v>
      </c>
      <c r="C41" s="1096"/>
      <c r="D41" s="1094">
        <v>2000000</v>
      </c>
      <c r="E41" s="1300">
        <f t="shared" ref="E41" si="14">C40-D41</f>
        <v>3000000</v>
      </c>
      <c r="F41" s="1345">
        <f>Compte!A26</f>
        <v>162</v>
      </c>
      <c r="G41" s="1356" t="str">
        <f>Compte!B26</f>
        <v>Emprunts auprès des établissement de crédit</v>
      </c>
      <c r="H41" s="1366">
        <v>10000000</v>
      </c>
    </row>
    <row r="42" spans="1:8" ht="12.95" customHeight="1">
      <c r="A42" s="1305">
        <f>Compte!A109</f>
        <v>245</v>
      </c>
      <c r="B42" s="1307" t="str">
        <f>Compte!B109</f>
        <v>Matériel de transport</v>
      </c>
      <c r="C42" s="1094">
        <v>10000000</v>
      </c>
      <c r="D42" s="1095"/>
      <c r="E42" s="1298"/>
      <c r="F42" s="1345">
        <f>Compte!A27</f>
        <v>164</v>
      </c>
      <c r="G42" s="1356" t="str">
        <f>Compte!B27</f>
        <v>Avances et divers acomptes reçues</v>
      </c>
      <c r="H42" s="1366">
        <v>150000</v>
      </c>
    </row>
    <row r="43" spans="1:8" ht="12.95" customHeight="1">
      <c r="A43" s="1305">
        <f>Compte!A110</f>
        <v>2845</v>
      </c>
      <c r="B43" s="1307" t="str">
        <f>Compte!B110</f>
        <v>Amortissement matériel transport</v>
      </c>
      <c r="C43" s="1096"/>
      <c r="D43" s="1094">
        <v>5000000</v>
      </c>
      <c r="E43" s="1300">
        <f t="shared" ref="E43" si="15">C42-D43</f>
        <v>5000000</v>
      </c>
      <c r="F43" s="1345">
        <f>Compte!A28</f>
        <v>165</v>
      </c>
      <c r="G43" s="1356" t="str">
        <f>Compte!B28</f>
        <v>Divers cautionnements reçus</v>
      </c>
      <c r="H43" s="1344">
        <v>50000</v>
      </c>
    </row>
    <row r="44" spans="1:8" ht="12.95" customHeight="1">
      <c r="A44" s="1305">
        <f>Compte!A111</f>
        <v>246</v>
      </c>
      <c r="B44" s="1307" t="str">
        <f>Compte!B111</f>
        <v>Immobilisations. animales, agricoles</v>
      </c>
      <c r="C44" s="1094"/>
      <c r="D44" s="1095"/>
      <c r="E44" s="1298"/>
      <c r="F44" s="1345">
        <f>Compte!A29</f>
        <v>166</v>
      </c>
      <c r="G44" s="1356" t="str">
        <f>Compte!B29</f>
        <v>Intérêt couru sur emprunts obligataires</v>
      </c>
      <c r="H44" s="1366"/>
    </row>
    <row r="45" spans="1:8" ht="12.95" customHeight="1">
      <c r="A45" s="1305">
        <f>Compte!A112</f>
        <v>2846</v>
      </c>
      <c r="B45" s="1307" t="str">
        <f>Compte!B112</f>
        <v>Amort. : immobilisations. animales, agric.</v>
      </c>
      <c r="C45" s="1096"/>
      <c r="D45" s="1094"/>
      <c r="E45" s="1300">
        <f t="shared" ref="E45" si="16">C44-D45</f>
        <v>0</v>
      </c>
      <c r="F45" s="1345">
        <f>Compte!A30</f>
        <v>170</v>
      </c>
      <c r="G45" s="1356" t="str">
        <f>Compte!B30</f>
        <v>Dettes de crédit-bail et contrats assimilés</v>
      </c>
      <c r="H45" s="1344"/>
    </row>
    <row r="46" spans="1:8" ht="12.95" customHeight="1">
      <c r="A46" s="1305">
        <f>Compte!A113</f>
        <v>249</v>
      </c>
      <c r="B46" s="1307" t="str">
        <f>Compte!B113</f>
        <v>Autres immobilisations corporelles en cours</v>
      </c>
      <c r="C46" s="1094"/>
      <c r="D46" s="1095"/>
      <c r="E46" s="1298"/>
      <c r="F46" s="1345">
        <f>Compte!A31</f>
        <v>184</v>
      </c>
      <c r="G46" s="1356" t="str">
        <f>Compte!B31</f>
        <v>Autres dettes financières diverses</v>
      </c>
      <c r="H46" s="1366">
        <v>200000</v>
      </c>
    </row>
    <row r="47" spans="1:8" ht="12.95" customHeight="1">
      <c r="A47" s="1305">
        <f>Compte!A114</f>
        <v>2849</v>
      </c>
      <c r="B47" s="1307" t="str">
        <f>Compte!B114</f>
        <v>Amortissements. : autres immobilisations corporelles en cours</v>
      </c>
      <c r="C47" s="1096"/>
      <c r="D47" s="1094"/>
      <c r="E47" s="1300">
        <f t="shared" ref="E47" si="17">C46-D47</f>
        <v>0</v>
      </c>
      <c r="F47" s="1291"/>
      <c r="G47" s="1357" t="s">
        <v>1613</v>
      </c>
      <c r="H47" s="1304">
        <f>SUM(H48:H55)</f>
        <v>3750000</v>
      </c>
    </row>
    <row r="48" spans="1:8" ht="12.95" customHeight="1">
      <c r="A48" s="1305">
        <f>Compte!A115</f>
        <v>250</v>
      </c>
      <c r="B48" s="1307" t="str">
        <f>Compte!B115</f>
        <v>Avances, acomptes versés sur immobilisations</v>
      </c>
      <c r="C48" s="1093">
        <v>2000000</v>
      </c>
      <c r="D48" s="1093"/>
      <c r="E48" s="1308">
        <f>C48-D48</f>
        <v>2000000</v>
      </c>
      <c r="F48" s="1299">
        <f>Compte!A32</f>
        <v>191</v>
      </c>
      <c r="G48" s="1347" t="str">
        <f>Compte!B32</f>
        <v>Provision pour litiges</v>
      </c>
      <c r="H48" s="1279">
        <v>150000</v>
      </c>
    </row>
    <row r="49" spans="1:8" ht="12.95" customHeight="1">
      <c r="A49" s="1294" t="s">
        <v>185</v>
      </c>
      <c r="B49" s="1295"/>
      <c r="C49" s="1306">
        <f>SUM(C50:C56)</f>
        <v>5000000</v>
      </c>
      <c r="D49" s="1306">
        <f>SUM(D50:D56)</f>
        <v>0</v>
      </c>
      <c r="E49" s="1306">
        <f t="shared" ref="E49" si="18">SUM(E50:E56)</f>
        <v>5000000</v>
      </c>
      <c r="F49" s="1299">
        <f>Compte!A33</f>
        <v>192</v>
      </c>
      <c r="G49" s="1347" t="str">
        <f>Compte!B33</f>
        <v>Provision pour pertes  créances clients</v>
      </c>
      <c r="H49" s="1279">
        <v>350000</v>
      </c>
    </row>
    <row r="50" spans="1:8" ht="12.95" customHeight="1">
      <c r="A50" s="1305">
        <f>Compte!A116</f>
        <v>260</v>
      </c>
      <c r="B50" s="1307" t="str">
        <f>Compte!B116</f>
        <v xml:space="preserve"> Participations</v>
      </c>
      <c r="C50" s="1093">
        <v>2000000</v>
      </c>
      <c r="D50" s="1093"/>
      <c r="E50" s="1308">
        <f>C50-D50</f>
        <v>2000000</v>
      </c>
      <c r="F50" s="1299">
        <f>Compte!A34</f>
        <v>194</v>
      </c>
      <c r="G50" s="1347" t="str">
        <f>Compte!B34</f>
        <v>Provision pour pertes de change</v>
      </c>
      <c r="H50" s="1279">
        <v>200000</v>
      </c>
    </row>
    <row r="51" spans="1:8" ht="12.95" customHeight="1">
      <c r="A51" s="1305">
        <f>Compte!A117</f>
        <v>266</v>
      </c>
      <c r="B51" s="1307" t="str">
        <f>Compte!B117</f>
        <v xml:space="preserve"> Créances rattachées à des participations</v>
      </c>
      <c r="C51" s="1093"/>
      <c r="D51" s="1093"/>
      <c r="E51" s="1308">
        <f t="shared" ref="E51:E56" si="19">C51-D51</f>
        <v>0</v>
      </c>
      <c r="F51" s="1299">
        <f>Compte!A35</f>
        <v>195</v>
      </c>
      <c r="G51" s="1347" t="str">
        <f>Compte!B35</f>
        <v>Provision pour impôt</v>
      </c>
      <c r="H51" s="1279">
        <v>1000000</v>
      </c>
    </row>
    <row r="52" spans="1:8" ht="12.95" customHeight="1">
      <c r="A52" s="1305">
        <f>Compte!A118</f>
        <v>271</v>
      </c>
      <c r="B52" s="1307" t="str">
        <f>Compte!B118</f>
        <v>Titres immobilisés actions</v>
      </c>
      <c r="C52" s="1093"/>
      <c r="D52" s="1093"/>
      <c r="E52" s="1308">
        <f t="shared" si="19"/>
        <v>0</v>
      </c>
      <c r="F52" s="1299">
        <f>Compte!A36</f>
        <v>197</v>
      </c>
      <c r="G52" s="1347" t="str">
        <f>Compte!B36</f>
        <v>Provision pour charges à repartir sur plusieurs exercices</v>
      </c>
      <c r="H52" s="1279">
        <v>200000</v>
      </c>
    </row>
    <row r="53" spans="1:8" ht="12.95" customHeight="1">
      <c r="A53" s="1305">
        <f>Compte!A119</f>
        <v>272</v>
      </c>
      <c r="B53" s="1307" t="str">
        <f>Compte!B119</f>
        <v>Titres immobilisés obligations</v>
      </c>
      <c r="C53" s="1093"/>
      <c r="D53" s="1093"/>
      <c r="E53" s="1308">
        <f t="shared" si="19"/>
        <v>0</v>
      </c>
      <c r="F53" s="1299">
        <f>Compte!A37</f>
        <v>1971</v>
      </c>
      <c r="G53" s="1347" t="str">
        <f>Compte!B37</f>
        <v>Provisions pour grosses réparations</v>
      </c>
      <c r="H53" s="1279">
        <v>1500000</v>
      </c>
    </row>
    <row r="54" spans="1:8" ht="12.95" customHeight="1">
      <c r="A54" s="1305">
        <f>Compte!A120</f>
        <v>274</v>
      </c>
      <c r="B54" s="1307" t="str">
        <f>Compte!B120</f>
        <v xml:space="preserve"> Prêts consentits par l'entreprise</v>
      </c>
      <c r="C54" s="1093">
        <v>1000000</v>
      </c>
      <c r="D54" s="1093"/>
      <c r="E54" s="1308">
        <f t="shared" si="19"/>
        <v>1000000</v>
      </c>
      <c r="F54" s="1299">
        <f>Compte!A38</f>
        <v>1981</v>
      </c>
      <c r="G54" s="1347" t="str">
        <f>Compte!B38</f>
        <v>Provisions pour amendes et pénalités</v>
      </c>
      <c r="H54" s="1279">
        <v>100000</v>
      </c>
    </row>
    <row r="55" spans="1:8" ht="12.95" customHeight="1">
      <c r="A55" s="1305">
        <f>Compte!A121</f>
        <v>275</v>
      </c>
      <c r="B55" s="1307" t="str">
        <f>Compte!B121</f>
        <v>Dépôt et Cautionnement versé par l'entreprise</v>
      </c>
      <c r="C55" s="1093">
        <v>2000000</v>
      </c>
      <c r="D55" s="1093"/>
      <c r="E55" s="1308">
        <f t="shared" si="19"/>
        <v>2000000</v>
      </c>
      <c r="F55" s="1299">
        <f>Compte!A39</f>
        <v>1982</v>
      </c>
      <c r="G55" s="1347" t="str">
        <f>Compte!B39</f>
        <v>Provisions sur des immobilisations</v>
      </c>
      <c r="H55" s="1279">
        <v>250000</v>
      </c>
    </row>
    <row r="56" spans="1:8" ht="12.95" customHeight="1">
      <c r="A56" s="1305">
        <f>Compte!A122</f>
        <v>279</v>
      </c>
      <c r="B56" s="1307" t="str">
        <f>Compte!B122</f>
        <v xml:space="preserve"> Autres créances</v>
      </c>
      <c r="C56" s="1093"/>
      <c r="D56" s="1093"/>
      <c r="E56" s="1308">
        <f t="shared" si="19"/>
        <v>0</v>
      </c>
      <c r="F56" s="1299"/>
      <c r="G56" s="1336"/>
      <c r="H56" s="1313"/>
    </row>
    <row r="57" spans="1:8" ht="12.95" customHeight="1">
      <c r="A57" s="1314"/>
      <c r="B57" s="1337" t="s">
        <v>184</v>
      </c>
      <c r="C57" s="1315">
        <f>SUM(C7,C22,C49)</f>
        <v>77500000</v>
      </c>
      <c r="D57" s="1315">
        <f>SUM(D7,D22,D49)</f>
        <v>27700000</v>
      </c>
      <c r="E57" s="1316">
        <f>SUM(E7,E22,E49)</f>
        <v>49800000</v>
      </c>
      <c r="F57" s="1317"/>
      <c r="G57" s="1337" t="s">
        <v>186</v>
      </c>
      <c r="H57" s="1315">
        <f>SUM(H39,H47)</f>
        <v>14150000</v>
      </c>
    </row>
    <row r="58" spans="1:8" ht="12.95" customHeight="1">
      <c r="A58" s="1318"/>
      <c r="B58" s="1338" t="s">
        <v>187</v>
      </c>
      <c r="C58" s="1319"/>
      <c r="D58" s="1319"/>
      <c r="E58" s="1320"/>
      <c r="F58" s="1321"/>
      <c r="G58" s="1338" t="s">
        <v>1614</v>
      </c>
      <c r="H58" s="1319"/>
    </row>
    <row r="59" spans="1:8" ht="12.95" customHeight="1">
      <c r="A59" s="1294" t="s">
        <v>188</v>
      </c>
      <c r="B59" s="1295"/>
      <c r="C59" s="1306">
        <f>SUM(C60:C65)</f>
        <v>13000000</v>
      </c>
      <c r="D59" s="1306">
        <f>SUM(D60:D65)</f>
        <v>0</v>
      </c>
      <c r="E59" s="1306">
        <f>SUM(E60:E65)</f>
        <v>13000000</v>
      </c>
      <c r="F59" s="1322"/>
      <c r="G59" s="1358" t="s">
        <v>1615</v>
      </c>
      <c r="H59" s="1323">
        <f>SUM(H60:H69)</f>
        <v>1630000</v>
      </c>
    </row>
    <row r="60" spans="1:8" ht="12.95" customHeight="1">
      <c r="A60" s="1296">
        <f>Compte!A123</f>
        <v>310</v>
      </c>
      <c r="B60" s="1297" t="str">
        <f>Compte!B123</f>
        <v xml:space="preserve">Marchandises </v>
      </c>
      <c r="C60" s="1093">
        <v>2000000</v>
      </c>
      <c r="D60" s="1279"/>
      <c r="E60" s="1308">
        <f>C60-D60</f>
        <v>2000000</v>
      </c>
      <c r="F60" s="1299">
        <f>Compte!A40</f>
        <v>4011</v>
      </c>
      <c r="G60" s="1347" t="str">
        <f>Compte!B40</f>
        <v>Fournisseurs</v>
      </c>
      <c r="H60" s="1279">
        <v>200000</v>
      </c>
    </row>
    <row r="61" spans="1:8" ht="12.95" customHeight="1">
      <c r="A61" s="1296">
        <f>Compte!A124</f>
        <v>320</v>
      </c>
      <c r="B61" s="1297" t="str">
        <f>Compte!B124</f>
        <v>Matières premières, fournitures</v>
      </c>
      <c r="C61" s="1093">
        <v>5000000</v>
      </c>
      <c r="D61" s="1279"/>
      <c r="E61" s="1308">
        <f t="shared" ref="E61:E65" si="20">C61-D61</f>
        <v>5000000</v>
      </c>
      <c r="F61" s="1299">
        <f>Compte!A41</f>
        <v>4012</v>
      </c>
      <c r="G61" s="1347" t="str">
        <f>Compte!B41</f>
        <v>Fournisseurs étrangers</v>
      </c>
      <c r="H61" s="1279"/>
    </row>
    <row r="62" spans="1:8" ht="12.95" customHeight="1">
      <c r="A62" s="1296">
        <f>Compte!A125</f>
        <v>330</v>
      </c>
      <c r="B62" s="1297" t="str">
        <f>Compte!B125</f>
        <v>Autres approvisionnements, emballage récup</v>
      </c>
      <c r="C62" s="1093">
        <v>1000000</v>
      </c>
      <c r="D62" s="1279"/>
      <c r="E62" s="1308">
        <f t="shared" si="20"/>
        <v>1000000</v>
      </c>
      <c r="F62" s="1299">
        <f>Compte!A42</f>
        <v>4021</v>
      </c>
      <c r="G62" s="1347" t="str">
        <f>Compte!B42</f>
        <v>Fournisseurs, Effets à payer</v>
      </c>
      <c r="H62" s="1279">
        <v>150000</v>
      </c>
    </row>
    <row r="63" spans="1:8" ht="12.95" customHeight="1">
      <c r="A63" s="1296">
        <f>Compte!A126</f>
        <v>340</v>
      </c>
      <c r="B63" s="1297" t="str">
        <f>Compte!B126</f>
        <v>En-cours de produits</v>
      </c>
      <c r="C63" s="1093">
        <v>2000000</v>
      </c>
      <c r="D63" s="1279"/>
      <c r="E63" s="1308">
        <f t="shared" si="20"/>
        <v>2000000</v>
      </c>
      <c r="F63" s="1299">
        <f>Compte!A43</f>
        <v>4022</v>
      </c>
      <c r="G63" s="1347" t="str">
        <f>Compte!B43</f>
        <v>Fournisseurs – étranger Effets à payer</v>
      </c>
      <c r="H63" s="1279"/>
    </row>
    <row r="64" spans="1:8" ht="12.95" customHeight="1">
      <c r="A64" s="1296">
        <f>Compte!A127</f>
        <v>361</v>
      </c>
      <c r="B64" s="1297" t="str">
        <f>Compte!B127</f>
        <v>Stock de produits finis</v>
      </c>
      <c r="C64" s="1093">
        <v>3000000</v>
      </c>
      <c r="D64" s="1279"/>
      <c r="E64" s="1308">
        <f t="shared" si="20"/>
        <v>3000000</v>
      </c>
      <c r="F64" s="1299">
        <f>Compte!A44</f>
        <v>4081</v>
      </c>
      <c r="G64" s="1347" t="str">
        <f>Compte!B44</f>
        <v>Fournisseurs  facture non parvenues</v>
      </c>
      <c r="H64" s="1279">
        <v>630000</v>
      </c>
    </row>
    <row r="65" spans="1:8" ht="12.95" customHeight="1">
      <c r="A65" s="1296">
        <f>Compte!A128</f>
        <v>370</v>
      </c>
      <c r="B65" s="1297" t="str">
        <f>Compte!B128</f>
        <v>Produits intermèdiaires., résiduels</v>
      </c>
      <c r="C65" s="1279"/>
      <c r="D65" s="1279"/>
      <c r="E65" s="1308">
        <f t="shared" si="20"/>
        <v>0</v>
      </c>
      <c r="F65" s="1299">
        <f>Compte!A45</f>
        <v>4086</v>
      </c>
      <c r="G65" s="1347" t="str">
        <f>Compte!B45</f>
        <v>Fournisseurs, intérêts courus</v>
      </c>
      <c r="H65" s="1279"/>
    </row>
    <row r="66" spans="1:8" ht="12.95" customHeight="1">
      <c r="A66" s="1294" t="s">
        <v>0</v>
      </c>
      <c r="B66" s="1295"/>
      <c r="C66" s="1306">
        <f>SUM(C67:C84)</f>
        <v>9000000</v>
      </c>
      <c r="D66" s="1306"/>
      <c r="E66" s="1306">
        <f>SUM(E67:E84)</f>
        <v>9000000</v>
      </c>
      <c r="F66" s="1299">
        <f>Compte!A46</f>
        <v>4091</v>
      </c>
      <c r="G66" s="1347" t="str">
        <f>Compte!B46</f>
        <v>Fournisseurs avances et acomptes versés</v>
      </c>
      <c r="H66" s="1279">
        <v>500000</v>
      </c>
    </row>
    <row r="67" spans="1:8" ht="12.95" customHeight="1">
      <c r="A67" s="1296">
        <f>Compte!A129</f>
        <v>411</v>
      </c>
      <c r="B67" s="1297" t="str">
        <f>Compte!B129</f>
        <v>Clients</v>
      </c>
      <c r="C67" s="1093">
        <v>5000000</v>
      </c>
      <c r="D67" s="1279"/>
      <c r="E67" s="1308">
        <f>C67-D67</f>
        <v>5000000</v>
      </c>
      <c r="F67" s="1299">
        <f>Compte!A47</f>
        <v>4094</v>
      </c>
      <c r="G67" s="1347" t="str">
        <f>Compte!B47</f>
        <v>Fournisseurs créances pour emballages et matériels à rendre</v>
      </c>
      <c r="H67" s="1279">
        <v>150000</v>
      </c>
    </row>
    <row r="68" spans="1:8" ht="12.95" customHeight="1">
      <c r="A68" s="1296">
        <f>Compte!A130</f>
        <v>4115</v>
      </c>
      <c r="B68" s="1297" t="str">
        <f>Compte!B130</f>
        <v>client et organismes étrangers</v>
      </c>
      <c r="C68" s="1093">
        <v>2000000</v>
      </c>
      <c r="D68" s="1279"/>
      <c r="E68" s="1308">
        <f t="shared" ref="E68:E84" si="21">C68-D68</f>
        <v>2000000</v>
      </c>
      <c r="F68" s="1299">
        <f>Compte!A48</f>
        <v>4098</v>
      </c>
      <c r="G68" s="1347" t="str">
        <f>Compte!B48</f>
        <v>Rabais, Remises, Ristournes et autres avoirs à obtenir</v>
      </c>
      <c r="H68" s="1279"/>
    </row>
    <row r="69" spans="1:8" ht="12.95" customHeight="1">
      <c r="A69" s="1296">
        <f>Compte!A131</f>
        <v>412</v>
      </c>
      <c r="B69" s="1297" t="str">
        <f>Compte!B131</f>
        <v>Clients, effets à recevoir</v>
      </c>
      <c r="C69" s="1093">
        <v>500000</v>
      </c>
      <c r="D69" s="1279"/>
      <c r="E69" s="1308">
        <f t="shared" si="21"/>
        <v>500000</v>
      </c>
      <c r="F69" s="1299"/>
      <c r="G69" s="1336"/>
      <c r="H69" s="1313"/>
    </row>
    <row r="70" spans="1:8" ht="12.95" customHeight="1">
      <c r="A70" s="1296">
        <f>Compte!A132</f>
        <v>414</v>
      </c>
      <c r="B70" s="1297" t="str">
        <f>Compte!B132</f>
        <v>Créances Cessions. courantes immobilisations.</v>
      </c>
      <c r="C70" s="1093"/>
      <c r="D70" s="1279"/>
      <c r="E70" s="1308">
        <f t="shared" si="21"/>
        <v>0</v>
      </c>
      <c r="F70" s="1301"/>
      <c r="G70" s="1346" t="s">
        <v>500</v>
      </c>
      <c r="H70" s="1324">
        <f>SUM(H71:H90)</f>
        <v>6020000</v>
      </c>
    </row>
    <row r="71" spans="1:8" ht="12.95" customHeight="1">
      <c r="A71" s="1296">
        <f>Compte!A133</f>
        <v>415</v>
      </c>
      <c r="B71" s="1297" t="str">
        <f>Compte!B133</f>
        <v>Clients effets. escomptés non échus</v>
      </c>
      <c r="C71" s="1093"/>
      <c r="D71" s="1279"/>
      <c r="E71" s="1308">
        <f t="shared" si="21"/>
        <v>0</v>
      </c>
      <c r="F71" s="1299">
        <f>Compte!A49</f>
        <v>431</v>
      </c>
      <c r="G71" s="1347" t="str">
        <f>Compte!B49</f>
        <v>Sécurité sociale , alloc familiale, accident travail, retraite obligatoire...</v>
      </c>
      <c r="H71" s="1279">
        <v>200000</v>
      </c>
    </row>
    <row r="72" spans="1:8" ht="12.95" customHeight="1">
      <c r="A72" s="1296">
        <f>Compte!A134</f>
        <v>416</v>
      </c>
      <c r="B72" s="1297" t="str">
        <f>Compte!B134</f>
        <v>Créances litigieuses douteuses</v>
      </c>
      <c r="C72" s="1093">
        <v>1000000</v>
      </c>
      <c r="D72" s="1279"/>
      <c r="E72" s="1308">
        <f t="shared" si="21"/>
        <v>1000000</v>
      </c>
      <c r="F72" s="1299">
        <f>Compte!A50</f>
        <v>433</v>
      </c>
      <c r="G72" s="1347" t="str">
        <f>Compte!B50</f>
        <v>Autres organismes sociaux</v>
      </c>
      <c r="H72" s="1279">
        <v>150000</v>
      </c>
    </row>
    <row r="73" spans="1:8" ht="12.95" customHeight="1">
      <c r="A73" s="1296">
        <f>Compte!A135</f>
        <v>418</v>
      </c>
      <c r="B73" s="1297" t="str">
        <f>Compte!B135</f>
        <v>clients debiteurs facture à etablir</v>
      </c>
      <c r="C73" s="1093"/>
      <c r="D73" s="1279"/>
      <c r="E73" s="1308">
        <f t="shared" si="21"/>
        <v>0</v>
      </c>
      <c r="F73" s="1299">
        <f>Compte!A51</f>
        <v>438</v>
      </c>
      <c r="G73" s="1347" t="str">
        <f>Compte!B51</f>
        <v>Mutuelle , organismes. Sociaux, Autres charges à payer</v>
      </c>
      <c r="H73" s="1279">
        <v>100000</v>
      </c>
    </row>
    <row r="74" spans="1:8" ht="12.95" customHeight="1">
      <c r="A74" s="1299">
        <f>Compte!A46</f>
        <v>4091</v>
      </c>
      <c r="B74" s="1336" t="str">
        <f>Compte!B46</f>
        <v>Fournisseurs avances et acomptes versés</v>
      </c>
      <c r="C74" s="1093">
        <v>500000</v>
      </c>
      <c r="D74" s="1279"/>
      <c r="E74" s="1308">
        <f t="shared" si="21"/>
        <v>500000</v>
      </c>
      <c r="F74" s="1299">
        <f>Compte!A52</f>
        <v>465</v>
      </c>
      <c r="G74" s="1347" t="str">
        <f>Compte!B52</f>
        <v>Associés, dividendes à payer</v>
      </c>
      <c r="H74" s="1279">
        <v>1500000</v>
      </c>
    </row>
    <row r="75" spans="1:8" ht="12.95" customHeight="1">
      <c r="A75" s="1299">
        <f>Compte!A47</f>
        <v>4094</v>
      </c>
      <c r="B75" s="1336" t="str">
        <f>Compte!B47</f>
        <v>Fournisseurs créances pour emballages et matériels à rendre</v>
      </c>
      <c r="C75" s="1093"/>
      <c r="D75" s="1279"/>
      <c r="E75" s="1308">
        <f t="shared" si="21"/>
        <v>0</v>
      </c>
      <c r="F75" s="1299">
        <f>Compte!A53</f>
        <v>4640</v>
      </c>
      <c r="G75" s="1347" t="str">
        <f>Compte!B53</f>
        <v>Dettes sur immobilisations</v>
      </c>
      <c r="H75" s="1279">
        <v>1000000</v>
      </c>
    </row>
    <row r="76" spans="1:8" ht="12.95" customHeight="1">
      <c r="A76" s="1296">
        <f>Compte!A138</f>
        <v>421</v>
      </c>
      <c r="B76" s="1297" t="str">
        <f>Compte!B138</f>
        <v>Personnel, avances, acomptes salaires</v>
      </c>
      <c r="C76" s="1093"/>
      <c r="D76" s="1279"/>
      <c r="E76" s="1308">
        <f t="shared" si="21"/>
        <v>0</v>
      </c>
      <c r="F76" s="1299">
        <f>Compte!A54</f>
        <v>4680</v>
      </c>
      <c r="G76" s="1347" t="str">
        <f>Compte!B54</f>
        <v>Autres dettes</v>
      </c>
      <c r="H76" s="1279">
        <v>20000</v>
      </c>
    </row>
    <row r="77" spans="1:8" ht="12.95" customHeight="1">
      <c r="A77" s="1296">
        <f>Compte!A139</f>
        <v>422</v>
      </c>
      <c r="B77" s="1297" t="str">
        <f>Compte!B139</f>
        <v>Personnel rémunérations dues</v>
      </c>
      <c r="C77" s="1093"/>
      <c r="D77" s="1279"/>
      <c r="E77" s="1308">
        <f t="shared" si="21"/>
        <v>0</v>
      </c>
      <c r="F77" s="1299">
        <f>Compte!A55</f>
        <v>441</v>
      </c>
      <c r="G77" s="1347" t="str">
        <f>Compte!B55</f>
        <v>Etat impôt sur les bénéfices</v>
      </c>
      <c r="H77" s="1279"/>
    </row>
    <row r="78" spans="1:8" ht="12.95" customHeight="1">
      <c r="A78" s="1296">
        <f>Compte!A140</f>
        <v>4611</v>
      </c>
      <c r="B78" s="1297" t="str">
        <f>Compte!B140</f>
        <v>Associés apports en nature</v>
      </c>
      <c r="C78" s="1093"/>
      <c r="D78" s="1279"/>
      <c r="E78" s="1308">
        <f t="shared" si="21"/>
        <v>0</v>
      </c>
      <c r="F78" s="1299">
        <f>Compte!A56</f>
        <v>442</v>
      </c>
      <c r="G78" s="1347" t="str">
        <f>Compte!B56</f>
        <v>Etat autres impôt et taxes dont douanes</v>
      </c>
      <c r="H78" s="1279"/>
    </row>
    <row r="79" spans="1:8" ht="12.95" customHeight="1">
      <c r="A79" s="1296">
        <f>Compte!A141</f>
        <v>4612</v>
      </c>
      <c r="B79" s="1297" t="str">
        <f>Compte!B141</f>
        <v>Associés apports en numéraire</v>
      </c>
      <c r="C79" s="1093"/>
      <c r="D79" s="1279"/>
      <c r="E79" s="1308">
        <f t="shared" si="21"/>
        <v>0</v>
      </c>
      <c r="F79" s="1299">
        <f>Compte!A57</f>
        <v>443</v>
      </c>
      <c r="G79" s="1347" t="str">
        <f>Compte!B57</f>
        <v>Tva due</v>
      </c>
      <c r="H79" s="1279"/>
    </row>
    <row r="80" spans="1:8" ht="12.95" customHeight="1">
      <c r="A80" s="1296">
        <f>Compte!A142</f>
        <v>4613</v>
      </c>
      <c r="B80" s="1297" t="str">
        <f>Compte!B142</f>
        <v>Associés, Actionnaires, capital souscrit appelé non versé</v>
      </c>
      <c r="C80" s="1093"/>
      <c r="D80" s="1279"/>
      <c r="E80" s="1308">
        <f t="shared" si="21"/>
        <v>0</v>
      </c>
      <c r="F80" s="1299">
        <f>Compte!A58</f>
        <v>4435</v>
      </c>
      <c r="G80" s="1347" t="str">
        <f>Compte!B58</f>
        <v>Etat tva à établir</v>
      </c>
      <c r="H80" s="1279">
        <v>500000</v>
      </c>
    </row>
    <row r="81" spans="1:8" ht="12.95" customHeight="1">
      <c r="A81" s="1296">
        <f>Compte!A143</f>
        <v>4615</v>
      </c>
      <c r="B81" s="1297" t="str">
        <f>Compte!B143</f>
        <v>Associés, versements reçus sur augmentation de capital</v>
      </c>
      <c r="C81" s="1093"/>
      <c r="D81" s="1279"/>
      <c r="E81" s="1308">
        <f t="shared" si="21"/>
        <v>0</v>
      </c>
      <c r="F81" s="1299">
        <f>Compte!A59</f>
        <v>446</v>
      </c>
      <c r="G81" s="1347" t="str">
        <f>Compte!B59</f>
        <v>Autres taxes sur CA</v>
      </c>
      <c r="H81" s="1279"/>
    </row>
    <row r="82" spans="1:8" ht="12.95" customHeight="1">
      <c r="A82" s="1296">
        <f>Compte!A144</f>
        <v>4618</v>
      </c>
      <c r="B82" s="1297" t="str">
        <f>Compte!B144</f>
        <v>Associés, autres apports</v>
      </c>
      <c r="C82" s="1093"/>
      <c r="D82" s="1279"/>
      <c r="E82" s="1308">
        <f t="shared" si="21"/>
        <v>0</v>
      </c>
      <c r="F82" s="1299">
        <f>Compte!A60</f>
        <v>447</v>
      </c>
      <c r="G82" s="1347" t="str">
        <f>Compte!B60</f>
        <v>Etat impôt et autres retenues</v>
      </c>
      <c r="H82" s="1279"/>
    </row>
    <row r="83" spans="1:8" ht="12.95" customHeight="1">
      <c r="A83" s="1296">
        <f>Compte!A145</f>
        <v>4620</v>
      </c>
      <c r="B83" s="1297" t="str">
        <f>Compte!B145</f>
        <v>Associés, compte courant</v>
      </c>
      <c r="C83" s="1093"/>
      <c r="D83" s="1279"/>
      <c r="E83" s="1308">
        <f t="shared" si="21"/>
        <v>0</v>
      </c>
      <c r="F83" s="1299">
        <f>Compte!A61</f>
        <v>4486</v>
      </c>
      <c r="G83" s="1347" t="str">
        <f>Compte!B61</f>
        <v>Etat charges à payer</v>
      </c>
      <c r="H83" s="1279"/>
    </row>
    <row r="84" spans="1:8" ht="12.95" customHeight="1">
      <c r="A84" s="1296" t="str">
        <f>Compte!A146</f>
        <v>4449-476</v>
      </c>
      <c r="B84" s="1297" t="str">
        <f>Compte!B146</f>
        <v>Autres créances</v>
      </c>
      <c r="C84" s="1093"/>
      <c r="D84" s="1279"/>
      <c r="E84" s="1308">
        <f t="shared" si="21"/>
        <v>0</v>
      </c>
      <c r="F84" s="1299">
        <f>Compte!A62</f>
        <v>185</v>
      </c>
      <c r="G84" s="1347" t="str">
        <f>Compte!B62</f>
        <v>Dettes liés à des participations</v>
      </c>
      <c r="H84" s="1279">
        <v>2400000</v>
      </c>
    </row>
    <row r="85" spans="1:8" ht="12.95" customHeight="1">
      <c r="A85" s="1294" t="s">
        <v>189</v>
      </c>
      <c r="B85" s="1295"/>
      <c r="C85" s="1306">
        <f>SUM(C86:C90)</f>
        <v>7000000</v>
      </c>
      <c r="D85" s="1306"/>
      <c r="E85" s="1306">
        <f t="shared" ref="E85" si="22">SUM(E86:E90)</f>
        <v>7000000</v>
      </c>
      <c r="F85" s="1299">
        <f>Compte!A63</f>
        <v>4712</v>
      </c>
      <c r="G85" s="1347" t="str">
        <f>Compte!B63</f>
        <v>Créditeurs divers</v>
      </c>
      <c r="H85" s="1279"/>
    </row>
    <row r="86" spans="1:8" ht="12.95" customHeight="1">
      <c r="A86" s="1305">
        <f>Compte!A147</f>
        <v>501</v>
      </c>
      <c r="B86" s="1307" t="str">
        <f>Compte!B147</f>
        <v>VMP actions</v>
      </c>
      <c r="C86" s="1093">
        <v>2000000</v>
      </c>
      <c r="D86" s="1279"/>
      <c r="E86" s="1308">
        <f>C86-D86</f>
        <v>2000000</v>
      </c>
      <c r="F86" s="1299">
        <f>Compte!A64</f>
        <v>4726</v>
      </c>
      <c r="G86" s="1347" t="str">
        <f>Compte!B64</f>
        <v>Versement restant sur titres participatifs</v>
      </c>
      <c r="H86" s="1279"/>
    </row>
    <row r="87" spans="1:8" ht="12.95" customHeight="1">
      <c r="A87" s="1305">
        <f>Compte!A148</f>
        <v>502</v>
      </c>
      <c r="B87" s="1307" t="str">
        <f>Compte!B148</f>
        <v>Actions propres</v>
      </c>
      <c r="C87" s="1093"/>
      <c r="D87" s="1279"/>
      <c r="E87" s="1308">
        <f t="shared" ref="E87:E90" si="23">C87-D87</f>
        <v>0</v>
      </c>
      <c r="F87" s="1299">
        <f>Compte!A65</f>
        <v>4727</v>
      </c>
      <c r="G87" s="1347" t="str">
        <f>Compte!B65</f>
        <v>Versement restant sur titres immobilisés</v>
      </c>
      <c r="H87" s="1279"/>
    </row>
    <row r="88" spans="1:8" ht="12.95" customHeight="1">
      <c r="A88" s="1305">
        <f>Compte!A149</f>
        <v>506</v>
      </c>
      <c r="B88" s="1307" t="str">
        <f>Compte!B149</f>
        <v xml:space="preserve">VMP Obligations </v>
      </c>
      <c r="C88" s="1093"/>
      <c r="D88" s="1279"/>
      <c r="E88" s="1308">
        <f t="shared" si="23"/>
        <v>0</v>
      </c>
      <c r="F88" s="1299">
        <f>Compte!A66</f>
        <v>4726</v>
      </c>
      <c r="G88" s="1347" t="str">
        <f>Compte!B66</f>
        <v>Versement restant sur titres VMP</v>
      </c>
      <c r="H88" s="1279"/>
    </row>
    <row r="89" spans="1:8" ht="12.95" customHeight="1">
      <c r="A89" s="1305">
        <f>Compte!A150</f>
        <v>507</v>
      </c>
      <c r="B89" s="1307" t="str">
        <f>Compte!B150</f>
        <v>Bons du Trésor et bons de caisse à CT</v>
      </c>
      <c r="C89" s="1093">
        <v>5000000</v>
      </c>
      <c r="D89" s="1279"/>
      <c r="E89" s="1308">
        <f t="shared" si="23"/>
        <v>5000000</v>
      </c>
      <c r="F89" s="1299">
        <f>Compte!A67</f>
        <v>499</v>
      </c>
      <c r="G89" s="1347" t="str">
        <f>Compte!B67</f>
        <v>Risques provisionnés exploitation et Hao</v>
      </c>
      <c r="H89" s="1279">
        <v>50000</v>
      </c>
    </row>
    <row r="90" spans="1:8" ht="12.95" customHeight="1">
      <c r="A90" s="1305">
        <f>Compte!A151</f>
        <v>508</v>
      </c>
      <c r="B90" s="1307" t="str">
        <f>Compte!B151</f>
        <v>Autres VMP et créances assimilées</v>
      </c>
      <c r="C90" s="1093"/>
      <c r="D90" s="1279"/>
      <c r="E90" s="1308">
        <f t="shared" si="23"/>
        <v>0</v>
      </c>
      <c r="F90" s="1299">
        <f>Compte!A68</f>
        <v>599</v>
      </c>
      <c r="G90" s="1347" t="str">
        <f>Compte!B68</f>
        <v>Risques provisionnés à caractère financier</v>
      </c>
      <c r="H90" s="1279">
        <v>100000</v>
      </c>
    </row>
    <row r="91" spans="1:8" ht="12.95" customHeight="1">
      <c r="A91" s="1294" t="s">
        <v>190</v>
      </c>
      <c r="B91" s="1295"/>
      <c r="C91" s="1306">
        <f>SUM(C92:C99)</f>
        <v>6500000</v>
      </c>
      <c r="D91" s="1306"/>
      <c r="E91" s="1306">
        <f>SUM(E92:E99)</f>
        <v>6500000</v>
      </c>
      <c r="F91" s="1291"/>
      <c r="G91" s="1359" t="s">
        <v>1636</v>
      </c>
      <c r="H91" s="1325">
        <f>SUM(H92:H99)</f>
        <v>300000</v>
      </c>
    </row>
    <row r="92" spans="1:8" ht="12.95" customHeight="1">
      <c r="A92" s="1296">
        <f>Compte!A152</f>
        <v>520</v>
      </c>
      <c r="B92" s="1297" t="str">
        <f>Compte!B152</f>
        <v>Banques cpte en monnaie nationale</v>
      </c>
      <c r="C92" s="1093">
        <v>3000000</v>
      </c>
      <c r="D92" s="1279"/>
      <c r="E92" s="1308">
        <f>C92-D92</f>
        <v>3000000</v>
      </c>
      <c r="F92" s="1296">
        <f>Compte!A69</f>
        <v>561</v>
      </c>
      <c r="G92" s="1339" t="str">
        <f>Compte!B69</f>
        <v>Banques et crédits d'escompte</v>
      </c>
      <c r="H92" s="1279">
        <v>50000</v>
      </c>
    </row>
    <row r="93" spans="1:8" ht="12.95" customHeight="1">
      <c r="A93" s="1296">
        <f>Compte!A153</f>
        <v>524</v>
      </c>
      <c r="B93" s="1297" t="str">
        <f>Compte!B153</f>
        <v>Banques hors Zone Franc</v>
      </c>
      <c r="C93" s="1093"/>
      <c r="D93" s="1279"/>
      <c r="E93" s="1308">
        <f t="shared" ref="E93:E99" si="24">C93-D93</f>
        <v>0</v>
      </c>
      <c r="F93" s="1296">
        <f>Compte!A70</f>
        <v>564</v>
      </c>
      <c r="G93" s="1339" t="str">
        <f>Compte!B70</f>
        <v>Escompte de concours campagne agricole</v>
      </c>
      <c r="H93" s="1279">
        <v>0</v>
      </c>
    </row>
    <row r="94" spans="1:8" ht="12.95" customHeight="1">
      <c r="A94" s="1296">
        <f>Compte!A154</f>
        <v>545</v>
      </c>
      <c r="B94" s="1297" t="str">
        <f>Compte!B154</f>
        <v>Avoirs or, autres. métaux précieux</v>
      </c>
      <c r="C94" s="1093"/>
      <c r="D94" s="1279"/>
      <c r="E94" s="1308">
        <f t="shared" si="24"/>
        <v>0</v>
      </c>
      <c r="F94" s="1296">
        <f>Compte!A71</f>
        <v>565</v>
      </c>
      <c r="G94" s="1339" t="str">
        <f>Compte!B71</f>
        <v>Escompte de crédit pour le commerce</v>
      </c>
      <c r="H94" s="1279">
        <v>250000</v>
      </c>
    </row>
    <row r="95" spans="1:8" ht="12.95" customHeight="1">
      <c r="A95" s="1296">
        <f>Compte!A155</f>
        <v>531</v>
      </c>
      <c r="B95" s="1297" t="str">
        <f>Compte!B155</f>
        <v>Compte postal</v>
      </c>
      <c r="C95" s="1093">
        <v>2000000</v>
      </c>
      <c r="D95" s="1279"/>
      <c r="E95" s="1308">
        <f t="shared" si="24"/>
        <v>2000000</v>
      </c>
      <c r="F95" s="1296">
        <f>Compte!A72</f>
        <v>566</v>
      </c>
      <c r="G95" s="1339" t="str">
        <f>Compte!B72</f>
        <v>Intérêt couru sur crédit de trésorerie</v>
      </c>
      <c r="H95" s="1279">
        <v>0</v>
      </c>
    </row>
    <row r="96" spans="1:8" ht="12.95" customHeight="1">
      <c r="A96" s="1296">
        <f>Compte!A156</f>
        <v>570</v>
      </c>
      <c r="B96" s="1297" t="str">
        <f>Compte!B156</f>
        <v>Caisses</v>
      </c>
      <c r="C96" s="1093">
        <v>1000000</v>
      </c>
      <c r="D96" s="1279"/>
      <c r="E96" s="1308">
        <f t="shared" si="24"/>
        <v>1000000</v>
      </c>
      <c r="F96" s="1296">
        <f>Compte!A73</f>
        <v>52</v>
      </c>
      <c r="G96" s="1339" t="str">
        <f>Compte!B73</f>
        <v>Banques, découverts solde céditeur</v>
      </c>
      <c r="H96" s="1279">
        <v>0</v>
      </c>
    </row>
    <row r="97" spans="1:8" ht="12.95" customHeight="1">
      <c r="A97" s="1296">
        <f>Compte!A157</f>
        <v>476</v>
      </c>
      <c r="B97" s="1339" t="str">
        <f>Compte!B157</f>
        <v>Actif de régulation (Charge payée d'avance, produit à recevoir)</v>
      </c>
      <c r="C97" s="1093">
        <v>500000</v>
      </c>
      <c r="D97" s="1279"/>
      <c r="E97" s="1308">
        <f t="shared" si="24"/>
        <v>500000</v>
      </c>
      <c r="G97" s="1296"/>
      <c r="H97" s="1098"/>
    </row>
    <row r="98" spans="1:8" ht="12.95" customHeight="1">
      <c r="A98" s="1296">
        <f>Compte!A158</f>
        <v>202</v>
      </c>
      <c r="B98" s="1339" t="str">
        <f>Compte!B158</f>
        <v>Charges étaler sur +sieurs exercices</v>
      </c>
      <c r="C98" s="1279"/>
      <c r="D98" s="1279"/>
      <c r="E98" s="1308">
        <f t="shared" si="24"/>
        <v>0</v>
      </c>
      <c r="F98" s="1296">
        <f>Compte!A74</f>
        <v>477</v>
      </c>
      <c r="G98" s="1296" t="str">
        <f>Compte!B74</f>
        <v>Passif de régulation , Charge à payer, Produits payés d'avance</v>
      </c>
      <c r="H98" s="1279"/>
    </row>
    <row r="99" spans="1:8" ht="12.95" customHeight="1">
      <c r="A99" s="1296">
        <f>Compte!A159</f>
        <v>478</v>
      </c>
      <c r="B99" s="1339" t="str">
        <f>Compte!B159</f>
        <v>Ecart de convertion d'actif</v>
      </c>
      <c r="C99" s="1279"/>
      <c r="D99" s="1279"/>
      <c r="E99" s="1308">
        <f t="shared" si="24"/>
        <v>0</v>
      </c>
      <c r="F99" s="1296">
        <f>Compte!A75</f>
        <v>479</v>
      </c>
      <c r="G99" s="1296" t="str">
        <f>Compte!B75</f>
        <v>Ecart de convertion de passif</v>
      </c>
      <c r="H99" s="1279"/>
    </row>
    <row r="100" spans="1:8" ht="12.95" customHeight="1">
      <c r="A100" s="1314"/>
      <c r="B100" s="1337" t="s">
        <v>186</v>
      </c>
      <c r="C100" s="1316">
        <f>SUM(C91,C85,C66,C59)</f>
        <v>35500000</v>
      </c>
      <c r="D100" s="1316"/>
      <c r="E100" s="1316">
        <f>SUM(E59,E66,E85,E91)</f>
        <v>35500000</v>
      </c>
      <c r="F100" s="1317"/>
      <c r="G100" s="1337" t="s">
        <v>191</v>
      </c>
      <c r="H100" s="1315">
        <f>SUM(H59,H70,H91)</f>
        <v>7950000</v>
      </c>
    </row>
    <row r="101" spans="1:8" ht="12.95" customHeight="1">
      <c r="A101" s="1326"/>
      <c r="B101" s="1340" t="s">
        <v>192</v>
      </c>
      <c r="C101" s="1327">
        <f>SUM(C57,C100)</f>
        <v>113000000</v>
      </c>
      <c r="D101" s="1327">
        <f t="shared" ref="D101:E101" si="25">SUM(D57,D100)</f>
        <v>27700000</v>
      </c>
      <c r="E101" s="1327">
        <f t="shared" si="25"/>
        <v>85300000</v>
      </c>
      <c r="F101" s="1328"/>
      <c r="G101" s="1340" t="s">
        <v>193</v>
      </c>
      <c r="H101" s="1327">
        <f>SUM(H33,H57,H100)</f>
        <v>85300000</v>
      </c>
    </row>
    <row r="103" spans="1:8" ht="12.95" customHeight="1">
      <c r="A103" s="1106" t="str">
        <f>IF(H101=E103,"le bilan est équilibré","déséquilibre du bilan")</f>
        <v>le bilan est équilibré</v>
      </c>
      <c r="B103" s="1106"/>
      <c r="C103" s="1107">
        <v>113000000</v>
      </c>
      <c r="D103" s="1107">
        <v>27700000</v>
      </c>
      <c r="E103" s="1107">
        <v>85300000</v>
      </c>
      <c r="F103" s="1106"/>
      <c r="G103" s="1106" t="s">
        <v>1486</v>
      </c>
      <c r="H103" s="1108">
        <v>85300000</v>
      </c>
    </row>
    <row r="106" spans="1:8" ht="12.95" customHeight="1">
      <c r="A106" s="1109" t="s">
        <v>1488</v>
      </c>
      <c r="C106" s="604" t="s">
        <v>1489</v>
      </c>
    </row>
    <row r="107" spans="1:8" ht="12.95" customHeight="1">
      <c r="A107" s="604" t="s">
        <v>1490</v>
      </c>
    </row>
    <row r="108" spans="1:8" ht="12.95" customHeight="1">
      <c r="A108" s="666" t="s">
        <v>1147</v>
      </c>
      <c r="B108" s="602"/>
      <c r="C108" s="603"/>
      <c r="D108" s="603"/>
      <c r="E108" s="668">
        <v>58000</v>
      </c>
    </row>
    <row r="109" spans="1:8" ht="12.95" customHeight="1">
      <c r="A109" s="666" t="s">
        <v>1148</v>
      </c>
      <c r="B109" s="602"/>
      <c r="C109" s="603"/>
      <c r="D109" s="603"/>
      <c r="E109" s="668">
        <v>71000</v>
      </c>
    </row>
    <row r="110" spans="1:8" ht="12.95" customHeight="1">
      <c r="A110" s="666" t="s">
        <v>1149</v>
      </c>
      <c r="B110" s="602"/>
      <c r="C110" s="603"/>
      <c r="D110" s="603"/>
      <c r="E110" s="668">
        <v>70013.59</v>
      </c>
    </row>
    <row r="111" spans="1:8" ht="12.95" customHeight="1">
      <c r="A111" s="666" t="s">
        <v>1150</v>
      </c>
      <c r="B111" s="602"/>
      <c r="C111" s="603"/>
      <c r="D111" s="603"/>
      <c r="E111" s="668">
        <v>270880</v>
      </c>
    </row>
    <row r="112" spans="1:8" ht="12.95" customHeight="1">
      <c r="A112" s="671" t="s">
        <v>1151</v>
      </c>
      <c r="B112" s="602"/>
      <c r="C112" s="603"/>
      <c r="D112" s="603"/>
      <c r="E112" s="672">
        <v>397020</v>
      </c>
    </row>
    <row r="113" spans="1:6" ht="12.95" customHeight="1">
      <c r="A113" s="666" t="s">
        <v>1152</v>
      </c>
      <c r="B113" s="602"/>
      <c r="C113" s="603"/>
      <c r="D113" s="603"/>
      <c r="E113" s="668">
        <v>91643.59</v>
      </c>
    </row>
    <row r="115" spans="1:6" ht="12.95" customHeight="1">
      <c r="A115" s="604" t="s">
        <v>1487</v>
      </c>
      <c r="C115" s="604" t="s">
        <v>1485</v>
      </c>
      <c r="D115" s="604" t="s">
        <v>1480</v>
      </c>
      <c r="E115" s="604" t="s">
        <v>26</v>
      </c>
      <c r="F115" s="604" t="s">
        <v>26</v>
      </c>
    </row>
    <row r="116" spans="1:6" ht="12.95" customHeight="1">
      <c r="A116" s="1206"/>
      <c r="B116" s="606" t="s">
        <v>810</v>
      </c>
      <c r="C116" s="1046">
        <v>602</v>
      </c>
      <c r="D116" s="1048"/>
      <c r="E116" s="1068">
        <v>10</v>
      </c>
      <c r="F116" s="1044"/>
    </row>
    <row r="117" spans="1:6" ht="12.95" customHeight="1">
      <c r="A117" s="1206"/>
      <c r="B117" s="606" t="s">
        <v>809</v>
      </c>
      <c r="C117" s="1046">
        <v>44522</v>
      </c>
      <c r="D117" s="1048"/>
      <c r="E117" s="1068">
        <v>10</v>
      </c>
      <c r="F117" s="1044"/>
    </row>
    <row r="118" spans="1:6" ht="12.95" customHeight="1">
      <c r="A118" s="1206"/>
      <c r="B118" s="606" t="s">
        <v>825</v>
      </c>
      <c r="C118" s="1046"/>
      <c r="D118" s="1048">
        <v>4011</v>
      </c>
      <c r="E118" s="1068"/>
      <c r="F118" s="1044">
        <v>20</v>
      </c>
    </row>
    <row r="119" spans="1:6" ht="12.95" customHeight="1">
      <c r="A119" s="1206"/>
      <c r="B119" s="606"/>
      <c r="C119" s="1046"/>
      <c r="D119" s="1048"/>
      <c r="E119" s="1068"/>
      <c r="F119" s="1044"/>
    </row>
    <row r="120" spans="1:6" ht="12.95" customHeight="1">
      <c r="A120" s="1206"/>
      <c r="B120" s="606" t="s">
        <v>811</v>
      </c>
      <c r="C120" s="1046">
        <v>4011</v>
      </c>
      <c r="D120" s="1048"/>
      <c r="E120" s="1068">
        <v>20</v>
      </c>
      <c r="F120" s="1044"/>
    </row>
    <row r="121" spans="1:6" ht="12.95" customHeight="1">
      <c r="A121" s="1206"/>
      <c r="B121" s="606" t="s">
        <v>830</v>
      </c>
      <c r="C121" s="1046"/>
      <c r="D121" s="1048">
        <v>520</v>
      </c>
      <c r="E121" s="1068"/>
      <c r="F121" s="1044">
        <v>20</v>
      </c>
    </row>
    <row r="122" spans="1:6" ht="12.95" customHeight="1">
      <c r="A122" s="1206"/>
      <c r="B122" s="606"/>
      <c r="C122" s="1046"/>
      <c r="D122" s="1048"/>
      <c r="E122" s="1068"/>
      <c r="F122" s="1044"/>
    </row>
    <row r="123" spans="1:6" ht="12.95" customHeight="1">
      <c r="A123" s="1206"/>
      <c r="B123" s="606" t="s">
        <v>812</v>
      </c>
      <c r="C123" s="1046">
        <v>411</v>
      </c>
      <c r="D123" s="1048"/>
      <c r="E123" s="1068">
        <v>1100000</v>
      </c>
      <c r="F123" s="1044"/>
    </row>
    <row r="124" spans="1:6" ht="12.95" customHeight="1">
      <c r="A124" s="1206"/>
      <c r="B124" s="606" t="s">
        <v>587</v>
      </c>
      <c r="C124" s="1046"/>
      <c r="D124" s="1048">
        <v>44311</v>
      </c>
      <c r="E124" s="1068"/>
      <c r="F124" s="1044">
        <v>100000</v>
      </c>
    </row>
    <row r="125" spans="1:6" ht="12.95" customHeight="1">
      <c r="A125" s="1206"/>
      <c r="B125" s="606" t="s">
        <v>824</v>
      </c>
      <c r="C125" s="1046"/>
      <c r="D125" s="1048">
        <v>7010</v>
      </c>
      <c r="E125" s="1068"/>
      <c r="F125" s="1044">
        <v>1000000</v>
      </c>
    </row>
    <row r="126" spans="1:6" ht="12.95" customHeight="1">
      <c r="A126" s="1206"/>
      <c r="B126" s="606"/>
      <c r="C126" s="1046"/>
      <c r="D126" s="1048"/>
      <c r="E126" s="1068"/>
      <c r="F126" s="1044"/>
    </row>
    <row r="127" spans="1:6" ht="12.95" customHeight="1">
      <c r="A127" s="1206"/>
      <c r="B127" s="606" t="s">
        <v>813</v>
      </c>
      <c r="C127" s="1046">
        <v>411</v>
      </c>
      <c r="D127" s="1048"/>
      <c r="E127" s="1068">
        <v>100</v>
      </c>
      <c r="F127" s="1044"/>
    </row>
    <row r="128" spans="1:6" ht="12.95" customHeight="1">
      <c r="A128" s="1206"/>
      <c r="B128" s="606" t="s">
        <v>587</v>
      </c>
      <c r="C128" s="1046"/>
      <c r="D128" s="1048">
        <v>44311</v>
      </c>
      <c r="E128" s="1068"/>
      <c r="F128" s="1044">
        <v>10</v>
      </c>
    </row>
    <row r="129" spans="1:6" ht="12.95" customHeight="1">
      <c r="A129" s="1206"/>
      <c r="B129" s="606" t="s">
        <v>824</v>
      </c>
      <c r="C129" s="1046"/>
      <c r="D129" s="1048">
        <v>7010</v>
      </c>
      <c r="E129" s="1068"/>
      <c r="F129" s="1044">
        <v>90</v>
      </c>
    </row>
    <row r="130" spans="1:6" ht="12.95" customHeight="1">
      <c r="A130" s="1206"/>
      <c r="B130" s="606"/>
      <c r="C130" s="1046"/>
      <c r="D130" s="1048"/>
      <c r="E130" s="1068"/>
      <c r="F130" s="1044"/>
    </row>
    <row r="131" spans="1:6" ht="12.95" customHeight="1">
      <c r="A131" s="1206"/>
      <c r="B131" s="606" t="s">
        <v>923</v>
      </c>
      <c r="C131" s="1046">
        <v>520</v>
      </c>
      <c r="D131" s="1048"/>
      <c r="E131" s="1068">
        <v>95</v>
      </c>
      <c r="F131" s="1044"/>
    </row>
    <row r="132" spans="1:6" ht="12.95" customHeight="1">
      <c r="A132" s="1206"/>
      <c r="B132" s="606" t="s">
        <v>924</v>
      </c>
      <c r="C132" s="1046">
        <v>6731</v>
      </c>
      <c r="D132" s="1048"/>
      <c r="E132" s="1068">
        <v>5</v>
      </c>
      <c r="F132" s="1044"/>
    </row>
    <row r="133" spans="1:6" ht="12.95" customHeight="1">
      <c r="A133" s="1206"/>
      <c r="B133" s="606" t="s">
        <v>922</v>
      </c>
      <c r="C133" s="1046"/>
      <c r="D133" s="1048">
        <v>411</v>
      </c>
      <c r="E133" s="1068"/>
      <c r="F133" s="1044">
        <v>100</v>
      </c>
    </row>
    <row r="134" spans="1:6" ht="12.95" customHeight="1">
      <c r="A134" s="1206"/>
      <c r="B134" s="606"/>
      <c r="C134" s="1046"/>
      <c r="D134" s="1048"/>
      <c r="E134" s="1068"/>
      <c r="F134" s="1044"/>
    </row>
    <row r="135" spans="1:6" ht="12.95" customHeight="1">
      <c r="A135" s="1206"/>
      <c r="B135" s="606" t="s">
        <v>927</v>
      </c>
      <c r="C135" s="1046">
        <v>520</v>
      </c>
      <c r="D135" s="1048"/>
      <c r="E135" s="1068">
        <v>50</v>
      </c>
      <c r="F135" s="1044"/>
    </row>
    <row r="136" spans="1:6" ht="12.95" customHeight="1">
      <c r="A136" s="1206"/>
      <c r="B136" s="606" t="s">
        <v>925</v>
      </c>
      <c r="C136" s="1046"/>
      <c r="D136" s="1048">
        <v>419</v>
      </c>
      <c r="E136" s="1068"/>
      <c r="F136" s="1044">
        <v>50</v>
      </c>
    </row>
    <row r="137" spans="1:6" ht="12.95" customHeight="1">
      <c r="A137" s="1206"/>
      <c r="B137" s="606"/>
      <c r="C137" s="1046"/>
      <c r="D137" s="1048"/>
      <c r="E137" s="1068"/>
      <c r="F137" s="1044"/>
    </row>
    <row r="138" spans="1:6" ht="12.95" customHeight="1">
      <c r="A138" s="1206"/>
      <c r="B138" s="606" t="s">
        <v>922</v>
      </c>
      <c r="C138" s="1046">
        <v>411</v>
      </c>
      <c r="D138" s="1048"/>
      <c r="E138" s="1068">
        <v>100</v>
      </c>
      <c r="F138" s="1044"/>
    </row>
    <row r="139" spans="1:6" ht="12.95" customHeight="1">
      <c r="A139" s="1206"/>
      <c r="B139" s="606" t="s">
        <v>927</v>
      </c>
      <c r="C139" s="1046">
        <v>419</v>
      </c>
      <c r="D139" s="1048"/>
      <c r="E139" s="1068">
        <v>50</v>
      </c>
      <c r="F139" s="1044"/>
    </row>
    <row r="140" spans="1:6" ht="12.95" customHeight="1">
      <c r="A140" s="1206"/>
      <c r="B140" s="606" t="s">
        <v>587</v>
      </c>
      <c r="C140" s="1046"/>
      <c r="D140" s="1048">
        <v>44312</v>
      </c>
      <c r="E140" s="1068"/>
      <c r="F140" s="1044">
        <v>10</v>
      </c>
    </row>
    <row r="141" spans="1:6" ht="12.95" customHeight="1">
      <c r="A141" s="1206"/>
      <c r="B141" s="606" t="s">
        <v>926</v>
      </c>
      <c r="C141" s="1046"/>
      <c r="D141" s="1048">
        <v>7011</v>
      </c>
      <c r="E141" s="1068"/>
      <c r="F141" s="1044">
        <v>140</v>
      </c>
    </row>
    <row r="142" spans="1:6" ht="12.95" customHeight="1">
      <c r="A142" s="1206"/>
      <c r="B142" s="606"/>
      <c r="C142" s="1046"/>
      <c r="D142" s="1048"/>
      <c r="E142" s="1068"/>
      <c r="F142" s="1044"/>
    </row>
    <row r="143" spans="1:6" ht="12.95" customHeight="1">
      <c r="A143" s="1206"/>
      <c r="B143" s="606" t="s">
        <v>928</v>
      </c>
      <c r="C143" s="1046">
        <v>4091</v>
      </c>
      <c r="D143" s="1048"/>
      <c r="E143" s="1068">
        <v>100</v>
      </c>
      <c r="F143" s="1044"/>
    </row>
    <row r="144" spans="1:6" ht="12.95" customHeight="1">
      <c r="A144" s="1206"/>
      <c r="B144" s="606" t="s">
        <v>830</v>
      </c>
      <c r="C144" s="1046"/>
      <c r="D144" s="1048">
        <v>520</v>
      </c>
      <c r="E144" s="1068"/>
      <c r="F144" s="1044">
        <v>100</v>
      </c>
    </row>
    <row r="145" spans="1:6" ht="12.95" customHeight="1">
      <c r="A145" s="1206"/>
      <c r="B145" s="606"/>
      <c r="C145" s="1046"/>
      <c r="D145" s="1048"/>
      <c r="E145" s="1068"/>
      <c r="F145" s="1044"/>
    </row>
    <row r="146" spans="1:6" ht="12.95" customHeight="1">
      <c r="A146" s="1206"/>
      <c r="B146" s="606" t="s">
        <v>929</v>
      </c>
      <c r="C146" s="1046">
        <v>602</v>
      </c>
      <c r="D146" s="1048"/>
      <c r="E146" s="1068">
        <v>200</v>
      </c>
      <c r="F146" s="1044"/>
    </row>
    <row r="147" spans="1:6" ht="12.95" customHeight="1">
      <c r="A147" s="1206"/>
      <c r="B147" s="606" t="s">
        <v>809</v>
      </c>
      <c r="C147" s="1046">
        <v>44522</v>
      </c>
      <c r="D147" s="1048"/>
      <c r="E147" s="1068">
        <v>10</v>
      </c>
      <c r="F147" s="1044"/>
    </row>
    <row r="148" spans="1:6" ht="12.95" customHeight="1">
      <c r="A148" s="1206"/>
      <c r="B148" s="606" t="s">
        <v>930</v>
      </c>
      <c r="C148" s="1046"/>
      <c r="D148" s="1048">
        <v>4091</v>
      </c>
      <c r="E148" s="1068"/>
      <c r="F148" s="1044">
        <v>100</v>
      </c>
    </row>
    <row r="149" spans="1:6" ht="12.95" customHeight="1">
      <c r="A149" s="1206"/>
      <c r="B149" s="606" t="s">
        <v>825</v>
      </c>
      <c r="C149" s="1046"/>
      <c r="D149" s="1048">
        <v>4011</v>
      </c>
      <c r="E149" s="1068"/>
      <c r="F149" s="1044">
        <v>110</v>
      </c>
    </row>
    <row r="150" spans="1:6" ht="12.95" customHeight="1">
      <c r="A150" s="1206"/>
      <c r="B150" s="606"/>
      <c r="C150" s="1046"/>
      <c r="D150" s="1048"/>
      <c r="E150" s="1583"/>
      <c r="F150" s="1583"/>
    </row>
    <row r="151" spans="1:6" ht="12.95" customHeight="1">
      <c r="A151" s="1206"/>
      <c r="B151" s="606" t="s">
        <v>931</v>
      </c>
      <c r="C151" s="1046">
        <v>4011</v>
      </c>
      <c r="D151" s="1048"/>
      <c r="E151" s="1068">
        <v>110</v>
      </c>
      <c r="F151" s="1044"/>
    </row>
    <row r="152" spans="1:6" ht="12.95" customHeight="1">
      <c r="A152" s="1206"/>
      <c r="B152" s="606" t="s">
        <v>830</v>
      </c>
      <c r="C152" s="1046"/>
      <c r="D152" s="1048">
        <v>520</v>
      </c>
      <c r="E152" s="1068"/>
      <c r="F152" s="1044">
        <v>110</v>
      </c>
    </row>
    <row r="153" spans="1:6" ht="12.95" customHeight="1">
      <c r="A153" s="1206"/>
      <c r="B153" s="606"/>
      <c r="C153" s="1046"/>
      <c r="D153" s="1048"/>
      <c r="E153" s="1068"/>
      <c r="F153" s="1044"/>
    </row>
    <row r="154" spans="1:6" ht="12.95" customHeight="1">
      <c r="A154" s="1206"/>
      <c r="B154" s="606" t="s">
        <v>933</v>
      </c>
      <c r="C154" s="1046">
        <v>411</v>
      </c>
      <c r="D154" s="1048"/>
      <c r="E154" s="1068">
        <v>130</v>
      </c>
      <c r="F154" s="1044"/>
    </row>
    <row r="155" spans="1:6" ht="12.95" customHeight="1">
      <c r="A155" s="1206"/>
      <c r="B155" s="606" t="s">
        <v>587</v>
      </c>
      <c r="C155" s="1046"/>
      <c r="D155" s="1048">
        <v>44312</v>
      </c>
      <c r="E155" s="1068"/>
      <c r="F155" s="1044">
        <v>10</v>
      </c>
    </row>
    <row r="156" spans="1:6" ht="12.95" customHeight="1">
      <c r="A156" s="1206"/>
      <c r="B156" s="606" t="s">
        <v>932</v>
      </c>
      <c r="C156" s="1046"/>
      <c r="D156" s="1048">
        <v>7010</v>
      </c>
      <c r="E156" s="1068"/>
      <c r="F156" s="1044">
        <v>20</v>
      </c>
    </row>
    <row r="157" spans="1:6" ht="12.95" customHeight="1">
      <c r="A157" s="1206"/>
      <c r="B157" s="606"/>
      <c r="C157" s="1046"/>
      <c r="D157" s="1048">
        <v>7500</v>
      </c>
      <c r="E157" s="1068"/>
      <c r="F157" s="1044">
        <v>100</v>
      </c>
    </row>
    <row r="158" spans="1:6" ht="12.95" customHeight="1">
      <c r="A158" s="1206"/>
      <c r="B158" s="606" t="s">
        <v>934</v>
      </c>
      <c r="C158" s="1046">
        <v>4115</v>
      </c>
      <c r="D158" s="1048"/>
      <c r="E158" s="1068">
        <v>1000</v>
      </c>
      <c r="F158" s="1044"/>
    </row>
    <row r="159" spans="1:6" ht="12.95" customHeight="1">
      <c r="A159" s="1206"/>
      <c r="B159" s="606" t="s">
        <v>935</v>
      </c>
      <c r="C159" s="1046"/>
      <c r="D159" s="1048">
        <v>7022</v>
      </c>
      <c r="E159" s="1068"/>
      <c r="F159" s="1044">
        <v>1000</v>
      </c>
    </row>
    <row r="160" spans="1:6" ht="12.95" customHeight="1">
      <c r="A160" s="1206"/>
      <c r="B160" s="606" t="s">
        <v>815</v>
      </c>
      <c r="C160" s="1046">
        <v>4115</v>
      </c>
      <c r="D160" s="1048"/>
      <c r="E160" s="1068">
        <v>500</v>
      </c>
      <c r="F160" s="1044"/>
    </row>
    <row r="161" spans="1:6" ht="12.95" customHeight="1">
      <c r="A161" s="1206"/>
      <c r="B161" s="606" t="s">
        <v>936</v>
      </c>
      <c r="C161" s="1046"/>
      <c r="D161" s="1048">
        <v>7021</v>
      </c>
      <c r="E161" s="1068"/>
      <c r="F161" s="1044">
        <v>500</v>
      </c>
    </row>
    <row r="162" spans="1:6" ht="12.95" customHeight="1">
      <c r="A162" s="1206"/>
      <c r="B162" s="606" t="s">
        <v>815</v>
      </c>
      <c r="C162" s="1046">
        <v>4115</v>
      </c>
      <c r="D162" s="1048"/>
      <c r="E162" s="1068">
        <v>200</v>
      </c>
      <c r="F162" s="1044"/>
    </row>
    <row r="163" spans="1:6" ht="12.95" customHeight="1">
      <c r="A163" s="1206"/>
      <c r="B163" s="606" t="s">
        <v>926</v>
      </c>
      <c r="C163" s="1046"/>
      <c r="D163" s="1048">
        <v>7023</v>
      </c>
      <c r="E163" s="1068"/>
      <c r="F163" s="1044">
        <v>200</v>
      </c>
    </row>
    <row r="164" spans="1:6" ht="12.95" customHeight="1">
      <c r="A164" s="1206"/>
      <c r="B164" s="606"/>
      <c r="C164" s="1046"/>
      <c r="D164" s="1048"/>
      <c r="E164" s="1068"/>
      <c r="F164" s="1044"/>
    </row>
    <row r="165" spans="1:6" ht="12.95" customHeight="1">
      <c r="A165" s="1206"/>
      <c r="B165" s="606" t="s">
        <v>1429</v>
      </c>
      <c r="C165" s="1046">
        <v>4115</v>
      </c>
      <c r="D165" s="1048"/>
      <c r="E165" s="1068">
        <v>50000</v>
      </c>
      <c r="F165" s="1044"/>
    </row>
    <row r="166" spans="1:6" ht="12.95" customHeight="1">
      <c r="A166" s="1206"/>
      <c r="B166" s="606" t="s">
        <v>1428</v>
      </c>
      <c r="C166" s="1046"/>
      <c r="D166" s="1048">
        <v>7065</v>
      </c>
      <c r="E166" s="1068"/>
      <c r="F166" s="1044">
        <v>50000</v>
      </c>
    </row>
    <row r="167" spans="1:6" ht="12.95" customHeight="1">
      <c r="A167" s="1206"/>
      <c r="B167" s="606"/>
      <c r="C167" s="1046"/>
      <c r="D167" s="1048"/>
      <c r="E167" s="1068"/>
      <c r="F167" s="1044"/>
    </row>
    <row r="168" spans="1:6" ht="12.95" customHeight="1">
      <c r="A168" s="1206"/>
      <c r="B168" s="606" t="s">
        <v>1429</v>
      </c>
      <c r="C168" s="1046">
        <v>4115</v>
      </c>
      <c r="D168" s="1048"/>
      <c r="E168" s="1068">
        <v>10000</v>
      </c>
      <c r="F168" s="1044"/>
    </row>
    <row r="169" spans="1:6" ht="12.95" customHeight="1">
      <c r="A169" s="1206"/>
      <c r="B169" s="606" t="s">
        <v>1430</v>
      </c>
      <c r="C169" s="1046"/>
      <c r="D169" s="1048">
        <v>7034</v>
      </c>
      <c r="E169" s="1068"/>
      <c r="F169" s="1044">
        <v>10000</v>
      </c>
    </row>
    <row r="170" spans="1:6" ht="12.95" customHeight="1">
      <c r="A170" s="1206"/>
      <c r="B170" s="606"/>
      <c r="C170" s="1046"/>
      <c r="D170" s="1048"/>
      <c r="E170" s="1068"/>
      <c r="F170" s="1044"/>
    </row>
    <row r="171" spans="1:6" ht="12.95" customHeight="1">
      <c r="A171" s="1206"/>
      <c r="B171" s="606"/>
      <c r="C171" s="1046"/>
      <c r="D171" s="1048"/>
      <c r="E171" s="1583"/>
      <c r="F171" s="1583"/>
    </row>
    <row r="172" spans="1:6" ht="12.95" customHeight="1">
      <c r="A172" s="1206"/>
      <c r="B172" s="606" t="s">
        <v>816</v>
      </c>
      <c r="C172" s="1046">
        <v>7011</v>
      </c>
      <c r="D172" s="1048"/>
      <c r="E172" s="1068">
        <v>10</v>
      </c>
      <c r="F172" s="1044"/>
    </row>
    <row r="173" spans="1:6" ht="12.95" customHeight="1">
      <c r="A173" s="1206"/>
      <c r="B173" s="606" t="s">
        <v>587</v>
      </c>
      <c r="C173" s="1046">
        <v>44312</v>
      </c>
      <c r="D173" s="1048"/>
      <c r="E173" s="1068">
        <v>2</v>
      </c>
      <c r="F173" s="1044"/>
    </row>
    <row r="174" spans="1:6" ht="12.95" customHeight="1">
      <c r="A174" s="1206"/>
      <c r="B174" s="606" t="s">
        <v>922</v>
      </c>
      <c r="C174" s="1046"/>
      <c r="D174" s="1048">
        <v>411</v>
      </c>
      <c r="E174" s="1068"/>
      <c r="F174" s="1044">
        <v>12</v>
      </c>
    </row>
    <row r="175" spans="1:6" ht="12.95" customHeight="1">
      <c r="A175" s="1206"/>
      <c r="B175" s="606"/>
      <c r="C175" s="1046"/>
      <c r="D175" s="1048"/>
      <c r="E175" s="1068"/>
      <c r="F175" s="1044"/>
    </row>
    <row r="176" spans="1:6" ht="12.95" customHeight="1">
      <c r="A176" s="1206"/>
      <c r="B176" s="606" t="s">
        <v>1532</v>
      </c>
      <c r="C176" s="1046">
        <v>6731</v>
      </c>
      <c r="D176" s="1048"/>
      <c r="E176" s="1068">
        <v>50</v>
      </c>
      <c r="F176" s="1044"/>
    </row>
    <row r="177" spans="1:6" ht="12.95" customHeight="1">
      <c r="A177" s="1206"/>
      <c r="B177" s="606" t="s">
        <v>587</v>
      </c>
      <c r="C177" s="1046">
        <v>44312</v>
      </c>
      <c r="D177" s="1048"/>
      <c r="E177" s="1068">
        <v>20</v>
      </c>
      <c r="F177" s="1044"/>
    </row>
    <row r="178" spans="1:6" ht="12.95" customHeight="1">
      <c r="A178" s="1206"/>
      <c r="B178" s="606" t="s">
        <v>922</v>
      </c>
      <c r="C178" s="1046"/>
      <c r="D178" s="1048">
        <v>411</v>
      </c>
      <c r="E178" s="1068"/>
      <c r="F178" s="1044">
        <v>70</v>
      </c>
    </row>
    <row r="179" spans="1:6" ht="12.95" customHeight="1">
      <c r="A179" s="1206"/>
      <c r="B179" s="606"/>
      <c r="C179" s="1046"/>
      <c r="D179" s="1048"/>
      <c r="E179" s="1068"/>
      <c r="F179" s="1044"/>
    </row>
    <row r="180" spans="1:6" ht="12.95" customHeight="1">
      <c r="A180" s="1206"/>
      <c r="B180" s="606" t="s">
        <v>817</v>
      </c>
      <c r="C180" s="1046">
        <v>412</v>
      </c>
      <c r="D180" s="1048"/>
      <c r="E180" s="1068">
        <v>500</v>
      </c>
      <c r="F180" s="1044"/>
    </row>
    <row r="181" spans="1:6" ht="12.95" customHeight="1">
      <c r="A181" s="1206"/>
      <c r="B181" s="606" t="s">
        <v>922</v>
      </c>
      <c r="C181" s="1046"/>
      <c r="D181" s="1048">
        <v>411</v>
      </c>
      <c r="E181" s="1068"/>
      <c r="F181" s="1044">
        <v>500</v>
      </c>
    </row>
    <row r="182" spans="1:6" ht="12.95" customHeight="1">
      <c r="A182" s="1206"/>
      <c r="B182" s="606"/>
      <c r="C182" s="1046"/>
      <c r="D182" s="1048"/>
      <c r="E182" s="1068"/>
      <c r="F182" s="1044"/>
    </row>
    <row r="183" spans="1:6" ht="12.95" customHeight="1">
      <c r="A183" s="1206"/>
      <c r="B183" s="1080" t="s">
        <v>1431</v>
      </c>
      <c r="C183" s="1083">
        <v>421</v>
      </c>
      <c r="D183" s="1084"/>
      <c r="E183" s="1068">
        <v>20000</v>
      </c>
      <c r="F183" s="1044"/>
    </row>
    <row r="184" spans="1:6" ht="12.95" customHeight="1">
      <c r="A184" s="1206"/>
      <c r="B184" s="1080" t="s">
        <v>830</v>
      </c>
      <c r="C184" s="1085"/>
      <c r="D184" s="1086">
        <v>520</v>
      </c>
      <c r="E184" s="1068"/>
      <c r="F184" s="1044">
        <v>20000</v>
      </c>
    </row>
    <row r="185" spans="1:6" ht="12.95" customHeight="1">
      <c r="A185" s="1206"/>
      <c r="B185" s="1080" t="s">
        <v>1432</v>
      </c>
      <c r="C185" s="1087">
        <v>6611</v>
      </c>
      <c r="D185" s="1086"/>
      <c r="E185" s="1068">
        <v>200000</v>
      </c>
      <c r="F185" s="1044"/>
    </row>
    <row r="186" spans="1:6" ht="12.95" customHeight="1">
      <c r="A186" s="1206"/>
      <c r="B186" s="1080" t="s">
        <v>219</v>
      </c>
      <c r="C186" s="1085"/>
      <c r="D186" s="1084">
        <v>422</v>
      </c>
      <c r="E186" s="1068"/>
      <c r="F186" s="1044">
        <v>200000</v>
      </c>
    </row>
    <row r="187" spans="1:6" ht="12.95" customHeight="1">
      <c r="A187" s="1206"/>
      <c r="B187" s="1080"/>
      <c r="C187" s="1085"/>
      <c r="D187" s="1088"/>
      <c r="E187" s="1068"/>
      <c r="F187" s="1044"/>
    </row>
    <row r="188" spans="1:6" ht="12.95" customHeight="1">
      <c r="A188" s="1206"/>
      <c r="B188" s="1080" t="s">
        <v>1433</v>
      </c>
      <c r="C188" s="1085">
        <v>422</v>
      </c>
      <c r="D188" s="1088"/>
      <c r="E188" s="1068">
        <v>60000</v>
      </c>
      <c r="F188" s="1044"/>
    </row>
    <row r="189" spans="1:6" ht="12.95" customHeight="1">
      <c r="A189" s="1206"/>
      <c r="B189" s="1080" t="s">
        <v>1533</v>
      </c>
      <c r="C189" s="1085"/>
      <c r="D189" s="1089">
        <v>431</v>
      </c>
      <c r="E189" s="1068"/>
      <c r="F189" s="1044">
        <v>30000</v>
      </c>
    </row>
    <row r="190" spans="1:6" ht="12.95" customHeight="1">
      <c r="A190" s="1206"/>
      <c r="B190" s="1080" t="s">
        <v>1534</v>
      </c>
      <c r="C190" s="1085"/>
      <c r="D190" s="1089">
        <v>433</v>
      </c>
      <c r="E190" s="1068"/>
      <c r="F190" s="1044">
        <v>20000</v>
      </c>
    </row>
    <row r="191" spans="1:6" ht="12.95" customHeight="1">
      <c r="A191" s="1206"/>
      <c r="B191" s="1080" t="s">
        <v>1434</v>
      </c>
      <c r="C191" s="1085"/>
      <c r="D191" s="1089">
        <v>438</v>
      </c>
      <c r="E191" s="1068"/>
      <c r="F191" s="1044">
        <v>10000</v>
      </c>
    </row>
    <row r="192" spans="1:6" ht="12.95" customHeight="1">
      <c r="A192" s="1206"/>
      <c r="B192" s="1080"/>
      <c r="C192" s="1085"/>
      <c r="D192" s="1089"/>
      <c r="E192" s="1068"/>
      <c r="F192" s="1044"/>
    </row>
    <row r="193" spans="1:6" ht="12.95" customHeight="1">
      <c r="A193" s="1206"/>
      <c r="B193" s="1080" t="s">
        <v>1435</v>
      </c>
      <c r="C193" s="1085">
        <v>422</v>
      </c>
      <c r="D193" s="1088"/>
      <c r="E193" s="1068">
        <v>200000</v>
      </c>
      <c r="F193" s="1044"/>
    </row>
    <row r="194" spans="1:6" ht="12.95" customHeight="1">
      <c r="A194" s="1206"/>
      <c r="B194" s="1080" t="s">
        <v>1482</v>
      </c>
      <c r="C194" s="1085"/>
      <c r="D194" s="1088">
        <f>C183</f>
        <v>421</v>
      </c>
      <c r="E194" s="1068"/>
      <c r="F194" s="1044">
        <v>20000</v>
      </c>
    </row>
    <row r="195" spans="1:6" ht="12.95" customHeight="1">
      <c r="A195" s="1206"/>
      <c r="B195" s="1080" t="s">
        <v>830</v>
      </c>
      <c r="C195" s="1085"/>
      <c r="D195" s="1086">
        <v>520</v>
      </c>
      <c r="E195" s="1068"/>
      <c r="F195" s="1044">
        <v>180000</v>
      </c>
    </row>
    <row r="196" spans="1:6" ht="12.95" customHeight="1">
      <c r="A196" s="1206"/>
      <c r="B196" s="1080"/>
      <c r="C196" s="1085"/>
      <c r="D196" s="1086"/>
      <c r="E196" s="1068"/>
      <c r="F196" s="1044"/>
    </row>
    <row r="197" spans="1:6" ht="12.95" customHeight="1">
      <c r="A197" s="1206"/>
      <c r="B197" s="1080" t="s">
        <v>1436</v>
      </c>
      <c r="C197" s="1090">
        <v>6662</v>
      </c>
      <c r="D197" s="1089"/>
      <c r="E197" s="1068">
        <v>70000</v>
      </c>
      <c r="F197" s="1044"/>
    </row>
    <row r="198" spans="1:6" ht="12.95" customHeight="1">
      <c r="A198" s="1206"/>
      <c r="B198" s="1080" t="s">
        <v>1533</v>
      </c>
      <c r="C198" s="1085"/>
      <c r="D198" s="1088">
        <v>431</v>
      </c>
      <c r="E198" s="1068"/>
      <c r="F198" s="1044">
        <v>40000</v>
      </c>
    </row>
    <row r="199" spans="1:6" ht="12.95" customHeight="1">
      <c r="A199" s="1206"/>
      <c r="B199" s="1080" t="s">
        <v>1534</v>
      </c>
      <c r="C199" s="1085"/>
      <c r="D199" s="1088">
        <v>433</v>
      </c>
      <c r="E199" s="1068"/>
      <c r="F199" s="1044">
        <v>20000</v>
      </c>
    </row>
    <row r="200" spans="1:6" ht="12.95" customHeight="1">
      <c r="A200" s="1206"/>
      <c r="B200" s="1080" t="s">
        <v>1434</v>
      </c>
      <c r="C200" s="1085"/>
      <c r="D200" s="1088">
        <v>438</v>
      </c>
      <c r="E200" s="1068"/>
      <c r="F200" s="1044">
        <v>10000</v>
      </c>
    </row>
    <row r="201" spans="1:6" ht="12.95" customHeight="1">
      <c r="A201" s="1206"/>
      <c r="B201" s="606"/>
      <c r="C201" s="1046"/>
      <c r="D201" s="1048"/>
      <c r="E201" s="1068"/>
      <c r="F201" s="1044"/>
    </row>
    <row r="202" spans="1:6" ht="12.95" customHeight="1">
      <c r="A202" s="1206"/>
      <c r="B202" s="606" t="s">
        <v>1473</v>
      </c>
      <c r="C202" s="1045">
        <v>411</v>
      </c>
      <c r="D202" s="1048"/>
      <c r="E202" s="1068">
        <v>1120</v>
      </c>
      <c r="F202" s="1044"/>
    </row>
    <row r="203" spans="1:6" ht="12.95" customHeight="1">
      <c r="A203" s="1206"/>
      <c r="B203" s="606" t="s">
        <v>587</v>
      </c>
      <c r="C203" s="1078"/>
      <c r="D203" s="1048">
        <v>44312</v>
      </c>
      <c r="E203" s="1068"/>
      <c r="F203" s="1044">
        <v>20</v>
      </c>
    </row>
    <row r="204" spans="1:6" ht="12.95" customHeight="1">
      <c r="A204" s="1206"/>
      <c r="B204" s="606" t="s">
        <v>937</v>
      </c>
      <c r="C204" s="1046"/>
      <c r="D204" s="1048">
        <v>7011</v>
      </c>
      <c r="E204" s="1068"/>
      <c r="F204" s="1044">
        <v>1000</v>
      </c>
    </row>
    <row r="205" spans="1:6" ht="12.95" customHeight="1">
      <c r="A205" s="1206"/>
      <c r="B205" s="606" t="s">
        <v>938</v>
      </c>
      <c r="C205" s="1046"/>
      <c r="D205" s="1048">
        <v>4194</v>
      </c>
      <c r="E205" s="1068"/>
      <c r="F205" s="1044">
        <v>100</v>
      </c>
    </row>
    <row r="206" spans="1:6" ht="12.95" customHeight="1">
      <c r="A206" s="1206"/>
      <c r="B206" s="606"/>
      <c r="C206" s="1046"/>
      <c r="D206" s="1048"/>
      <c r="E206" s="1068"/>
      <c r="F206" s="1044"/>
    </row>
    <row r="207" spans="1:6" ht="12.95" customHeight="1">
      <c r="A207" s="1206"/>
      <c r="B207" s="606" t="s">
        <v>939</v>
      </c>
      <c r="C207" s="1046">
        <v>4194</v>
      </c>
      <c r="D207" s="1048"/>
      <c r="E207" s="1068">
        <v>100</v>
      </c>
      <c r="F207" s="1044"/>
    </row>
    <row r="208" spans="1:6" ht="12.95" customHeight="1">
      <c r="A208" s="1206"/>
      <c r="B208" s="606" t="s">
        <v>922</v>
      </c>
      <c r="C208" s="1046"/>
      <c r="D208" s="1048">
        <v>411</v>
      </c>
      <c r="E208" s="1068"/>
      <c r="F208" s="1044">
        <v>100</v>
      </c>
    </row>
    <row r="209" spans="1:6" ht="12.95" customHeight="1">
      <c r="A209" s="1206"/>
      <c r="B209" s="606"/>
      <c r="C209" s="1046"/>
      <c r="D209" s="1048"/>
      <c r="E209" s="1068"/>
      <c r="F209" s="1044"/>
    </row>
    <row r="210" spans="1:6" ht="12.95" customHeight="1">
      <c r="A210" s="1206"/>
      <c r="B210" s="606" t="s">
        <v>1427</v>
      </c>
      <c r="C210" s="1046"/>
      <c r="D210" s="1048"/>
      <c r="E210" s="1068"/>
      <c r="F210" s="1044"/>
    </row>
    <row r="211" spans="1:6" ht="12.95" customHeight="1">
      <c r="A211" s="1206"/>
      <c r="B211" s="606" t="s">
        <v>818</v>
      </c>
      <c r="C211" s="1046">
        <v>4194</v>
      </c>
      <c r="D211" s="1048"/>
      <c r="E211" s="1068">
        <v>100</v>
      </c>
      <c r="F211" s="1044"/>
    </row>
    <row r="212" spans="1:6" ht="12.95" customHeight="1">
      <c r="A212" s="1206"/>
      <c r="B212" s="606" t="s">
        <v>819</v>
      </c>
      <c r="C212" s="1046"/>
      <c r="D212" s="1048">
        <v>7074</v>
      </c>
      <c r="E212" s="1068"/>
      <c r="F212" s="1044">
        <v>20</v>
      </c>
    </row>
    <row r="213" spans="1:6" ht="12.95" customHeight="1">
      <c r="A213" s="1206"/>
      <c r="B213" s="606" t="s">
        <v>587</v>
      </c>
      <c r="C213" s="1046"/>
      <c r="D213" s="1048">
        <v>44312</v>
      </c>
      <c r="E213" s="1068"/>
      <c r="F213" s="1044">
        <v>10</v>
      </c>
    </row>
    <row r="214" spans="1:6" ht="12.95" customHeight="1">
      <c r="A214" s="1206"/>
      <c r="B214" s="606" t="s">
        <v>922</v>
      </c>
      <c r="C214" s="1046"/>
      <c r="D214" s="1048">
        <v>411</v>
      </c>
      <c r="E214" s="1068"/>
      <c r="F214" s="1044">
        <v>70</v>
      </c>
    </row>
    <row r="215" spans="1:6" ht="12.95" customHeight="1">
      <c r="A215" s="1206"/>
      <c r="B215" s="606"/>
      <c r="C215" s="1046"/>
      <c r="D215" s="1048"/>
      <c r="E215" s="1583"/>
      <c r="F215" s="1583"/>
    </row>
    <row r="216" spans="1:6" ht="12.95" customHeight="1">
      <c r="A216" s="1206"/>
      <c r="B216" s="606" t="s">
        <v>940</v>
      </c>
      <c r="C216" s="1046">
        <v>4194</v>
      </c>
      <c r="D216" s="1048"/>
      <c r="E216" s="1068">
        <v>100</v>
      </c>
      <c r="F216" s="1044"/>
    </row>
    <row r="217" spans="1:6" ht="12.95" customHeight="1">
      <c r="A217" s="1206"/>
      <c r="B217" s="606" t="s">
        <v>587</v>
      </c>
      <c r="C217" s="1046"/>
      <c r="D217" s="1048">
        <v>44312</v>
      </c>
      <c r="E217" s="1068"/>
      <c r="F217" s="1044">
        <v>10</v>
      </c>
    </row>
    <row r="218" spans="1:6" ht="12.95" customHeight="1">
      <c r="A218" s="1206"/>
      <c r="B218" s="606" t="s">
        <v>941</v>
      </c>
      <c r="C218" s="1046"/>
      <c r="D218" s="1048">
        <v>7500</v>
      </c>
      <c r="E218" s="1068"/>
      <c r="F218" s="1044">
        <v>90</v>
      </c>
    </row>
    <row r="219" spans="1:6" ht="12.95" customHeight="1">
      <c r="A219" s="1206"/>
      <c r="B219" s="606"/>
      <c r="C219" s="1046"/>
      <c r="D219" s="1048"/>
      <c r="E219" s="1068"/>
      <c r="F219" s="1044"/>
    </row>
    <row r="220" spans="1:6" ht="12.95" customHeight="1">
      <c r="A220" s="1206"/>
      <c r="B220" s="606" t="s">
        <v>942</v>
      </c>
      <c r="C220" s="1046">
        <v>411</v>
      </c>
      <c r="D220" s="1048"/>
      <c r="E220" s="1068">
        <v>5000</v>
      </c>
      <c r="F220" s="1044"/>
    </row>
    <row r="221" spans="1:6" ht="12.95" customHeight="1">
      <c r="A221" s="1206"/>
      <c r="B221" s="606" t="s">
        <v>587</v>
      </c>
      <c r="C221" s="1046"/>
      <c r="D221" s="1048">
        <v>44312</v>
      </c>
      <c r="E221" s="1068"/>
      <c r="F221" s="1044">
        <v>100</v>
      </c>
    </row>
    <row r="222" spans="1:6" ht="12.95" customHeight="1">
      <c r="A222" s="1206"/>
      <c r="B222" s="606" t="s">
        <v>943</v>
      </c>
      <c r="C222" s="1046"/>
      <c r="D222" s="1048">
        <v>7031</v>
      </c>
      <c r="E222" s="1068"/>
      <c r="F222" s="1044">
        <v>4900</v>
      </c>
    </row>
    <row r="223" spans="1:6" ht="12.95" customHeight="1">
      <c r="A223" s="1206"/>
      <c r="B223" s="606"/>
      <c r="C223" s="1046"/>
      <c r="D223" s="1048"/>
      <c r="E223" s="1068"/>
      <c r="F223" s="1044"/>
    </row>
    <row r="224" spans="1:6" ht="12.95" customHeight="1">
      <c r="A224" s="1206"/>
      <c r="B224" s="606" t="s">
        <v>944</v>
      </c>
      <c r="C224" s="1046">
        <v>4115</v>
      </c>
      <c r="D224" s="1048"/>
      <c r="E224" s="1068">
        <v>1120</v>
      </c>
      <c r="F224" s="1044"/>
    </row>
    <row r="225" spans="1:6" ht="12.95" customHeight="1">
      <c r="A225" s="1206"/>
      <c r="B225" s="606" t="s">
        <v>1535</v>
      </c>
      <c r="C225" s="1046"/>
      <c r="D225" s="1048">
        <v>44322</v>
      </c>
      <c r="E225" s="1068"/>
      <c r="F225" s="1044">
        <v>120</v>
      </c>
    </row>
    <row r="226" spans="1:6" ht="12.95" customHeight="1">
      <c r="A226" s="1206"/>
      <c r="B226" s="606" t="s">
        <v>944</v>
      </c>
      <c r="C226" s="1046"/>
      <c r="D226" s="1048">
        <v>7062</v>
      </c>
      <c r="E226" s="1068"/>
      <c r="F226" s="1044">
        <v>1000</v>
      </c>
    </row>
    <row r="227" spans="1:6" ht="12.95" customHeight="1">
      <c r="A227" s="1206"/>
      <c r="B227" s="606"/>
      <c r="C227" s="1046"/>
      <c r="D227" s="1048"/>
      <c r="E227" s="1068"/>
      <c r="F227" s="1044"/>
    </row>
    <row r="228" spans="1:6" ht="12.95" customHeight="1">
      <c r="A228" s="1206"/>
      <c r="B228" s="606" t="s">
        <v>947</v>
      </c>
      <c r="C228" s="1045">
        <v>6021</v>
      </c>
      <c r="D228" s="1048"/>
      <c r="E228" s="1068">
        <v>2000</v>
      </c>
      <c r="F228" s="1044"/>
    </row>
    <row r="229" spans="1:6" ht="12.95" customHeight="1">
      <c r="A229" s="1206"/>
      <c r="B229" s="606" t="s">
        <v>946</v>
      </c>
      <c r="C229" s="1078">
        <v>44532</v>
      </c>
      <c r="D229" s="1048"/>
      <c r="E229" s="1068">
        <v>100</v>
      </c>
      <c r="F229" s="1044"/>
    </row>
    <row r="230" spans="1:6" ht="12.95" customHeight="1">
      <c r="A230" s="1206"/>
      <c r="B230" s="606" t="s">
        <v>945</v>
      </c>
      <c r="C230" s="1046"/>
      <c r="D230" s="1079">
        <v>4012</v>
      </c>
      <c r="E230" s="1068"/>
      <c r="F230" s="1044">
        <v>2100</v>
      </c>
    </row>
    <row r="231" spans="1:6" ht="12.95" customHeight="1">
      <c r="A231" s="1206"/>
      <c r="B231" s="606"/>
      <c r="C231" s="1046"/>
      <c r="D231" s="1079"/>
      <c r="E231" s="1068"/>
      <c r="F231" s="1044"/>
    </row>
    <row r="232" spans="1:6" ht="12.95" customHeight="1">
      <c r="A232" s="1206"/>
      <c r="B232" s="606" t="s">
        <v>948</v>
      </c>
      <c r="C232" s="1046">
        <v>6011</v>
      </c>
      <c r="D232" s="1079"/>
      <c r="E232" s="1068">
        <v>1000</v>
      </c>
      <c r="F232" s="1044"/>
    </row>
    <row r="233" spans="1:6" ht="12.95" customHeight="1">
      <c r="A233" s="1206"/>
      <c r="B233" s="606" t="s">
        <v>809</v>
      </c>
      <c r="C233" s="1046">
        <v>44522</v>
      </c>
      <c r="D233" s="1048"/>
      <c r="E233" s="1068">
        <v>100</v>
      </c>
      <c r="F233" s="1044"/>
    </row>
    <row r="234" spans="1:6" ht="12.95" customHeight="1">
      <c r="A234" s="1206"/>
      <c r="B234" s="606" t="s">
        <v>825</v>
      </c>
      <c r="C234" s="1046"/>
      <c r="D234" s="1048">
        <v>4011</v>
      </c>
      <c r="E234" s="1068"/>
      <c r="F234" s="1044">
        <v>1100</v>
      </c>
    </row>
    <row r="235" spans="1:6" ht="12.95" customHeight="1">
      <c r="A235" s="1206"/>
      <c r="B235" s="606"/>
      <c r="C235" s="1046"/>
      <c r="D235" s="1048"/>
      <c r="E235" s="1068"/>
      <c r="F235" s="1044"/>
    </row>
    <row r="236" spans="1:6" ht="12.95" customHeight="1">
      <c r="A236" s="1206"/>
      <c r="B236" s="606" t="s">
        <v>949</v>
      </c>
      <c r="C236" s="1046">
        <v>6013</v>
      </c>
      <c r="D236" s="1048"/>
      <c r="E236" s="1068">
        <v>50000</v>
      </c>
      <c r="F236" s="1044"/>
    </row>
    <row r="237" spans="1:6" ht="12.95" customHeight="1">
      <c r="A237" s="1206"/>
      <c r="B237" s="606" t="s">
        <v>868</v>
      </c>
      <c r="C237" s="1046">
        <v>44532</v>
      </c>
      <c r="D237" s="1048"/>
      <c r="E237" s="1068">
        <v>200</v>
      </c>
      <c r="F237" s="1044"/>
    </row>
    <row r="238" spans="1:6" ht="12.95" customHeight="1">
      <c r="A238" s="1206"/>
      <c r="B238" s="606" t="s">
        <v>945</v>
      </c>
      <c r="C238" s="1046"/>
      <c r="D238" s="1048">
        <v>4012</v>
      </c>
      <c r="E238" s="1068"/>
      <c r="F238" s="1044">
        <v>50200</v>
      </c>
    </row>
    <row r="239" spans="1:6" ht="12.95" customHeight="1">
      <c r="A239" s="1206"/>
      <c r="B239" s="606"/>
      <c r="C239" s="1046"/>
      <c r="D239" s="1048"/>
      <c r="E239" s="1068"/>
      <c r="F239" s="1044"/>
    </row>
    <row r="240" spans="1:6" ht="12.95" customHeight="1">
      <c r="A240" s="1206"/>
      <c r="B240" s="606" t="s">
        <v>950</v>
      </c>
      <c r="C240" s="1046">
        <v>6014</v>
      </c>
      <c r="D240" s="1048"/>
      <c r="E240" s="1068">
        <v>10000</v>
      </c>
      <c r="F240" s="1044"/>
    </row>
    <row r="241" spans="1:6" ht="12.95" customHeight="1">
      <c r="A241" s="1206"/>
      <c r="B241" s="606" t="s">
        <v>809</v>
      </c>
      <c r="C241" s="1046">
        <v>44522</v>
      </c>
      <c r="D241" s="1048"/>
      <c r="E241" s="1068">
        <v>100</v>
      </c>
      <c r="F241" s="1044"/>
    </row>
    <row r="242" spans="1:6" ht="12.95" customHeight="1">
      <c r="A242" s="1206"/>
      <c r="B242" s="606" t="s">
        <v>951</v>
      </c>
      <c r="C242" s="1046">
        <v>6180</v>
      </c>
      <c r="D242" s="1048"/>
      <c r="E242" s="1068">
        <v>500</v>
      </c>
      <c r="F242" s="1044"/>
    </row>
    <row r="243" spans="1:6" ht="12.95" customHeight="1">
      <c r="A243" s="1206"/>
      <c r="B243" s="606" t="s">
        <v>823</v>
      </c>
      <c r="C243" s="1046"/>
      <c r="D243" s="1048">
        <v>4011</v>
      </c>
      <c r="E243" s="1068"/>
      <c r="F243" s="1044">
        <v>10600</v>
      </c>
    </row>
    <row r="244" spans="1:6" ht="12.95" customHeight="1">
      <c r="A244" s="1206"/>
      <c r="B244" s="606"/>
      <c r="C244" s="1046"/>
      <c r="D244" s="1048"/>
      <c r="E244" s="1068"/>
      <c r="F244" s="1044"/>
    </row>
    <row r="245" spans="1:6" ht="12.95" customHeight="1">
      <c r="A245" s="1206"/>
      <c r="B245" s="606" t="s">
        <v>952</v>
      </c>
      <c r="C245" s="1046">
        <v>104</v>
      </c>
      <c r="D245" s="1048"/>
      <c r="E245" s="1068">
        <v>1400</v>
      </c>
      <c r="F245" s="1044"/>
    </row>
    <row r="246" spans="1:6" ht="12.95" customHeight="1">
      <c r="A246" s="1206"/>
      <c r="B246" s="606" t="s">
        <v>587</v>
      </c>
      <c r="C246" s="1046"/>
      <c r="D246" s="1048">
        <v>44312</v>
      </c>
      <c r="E246" s="1068"/>
      <c r="F246" s="1044">
        <v>200</v>
      </c>
    </row>
    <row r="247" spans="1:6" ht="12.95" customHeight="1">
      <c r="A247" s="1206"/>
      <c r="B247" s="606" t="s">
        <v>824</v>
      </c>
      <c r="C247" s="1046"/>
      <c r="D247" s="1048">
        <v>7582</v>
      </c>
      <c r="E247" s="1068"/>
      <c r="F247" s="1044">
        <v>1200</v>
      </c>
    </row>
    <row r="248" spans="1:6" ht="12.95" customHeight="1">
      <c r="A248" s="1206"/>
      <c r="B248" s="606"/>
      <c r="C248" s="1046"/>
      <c r="D248" s="1048"/>
      <c r="E248" s="1068"/>
      <c r="F248" s="1044"/>
    </row>
    <row r="249" spans="1:6" ht="12.95" customHeight="1">
      <c r="A249" s="1206"/>
      <c r="B249" s="606" t="s">
        <v>953</v>
      </c>
      <c r="C249" s="1046">
        <v>6011</v>
      </c>
      <c r="D249" s="1048"/>
      <c r="E249" s="1068">
        <v>500</v>
      </c>
      <c r="F249" s="1044"/>
    </row>
    <row r="250" spans="1:6" ht="12.95" customHeight="1">
      <c r="A250" s="1206"/>
      <c r="B250" s="606" t="s">
        <v>587</v>
      </c>
      <c r="C250" s="1046">
        <v>44522</v>
      </c>
      <c r="D250" s="1048"/>
      <c r="E250" s="1068">
        <v>10</v>
      </c>
      <c r="F250" s="1044"/>
    </row>
    <row r="251" spans="1:6" ht="12.95" customHeight="1">
      <c r="A251" s="1206"/>
      <c r="B251" s="606" t="s">
        <v>954</v>
      </c>
      <c r="C251" s="1046"/>
      <c r="D251" s="1048">
        <v>7730</v>
      </c>
      <c r="E251" s="1068"/>
      <c r="F251" s="1044">
        <v>10</v>
      </c>
    </row>
    <row r="252" spans="1:6" ht="12.95" customHeight="1">
      <c r="A252" s="1206"/>
      <c r="B252" s="606" t="s">
        <v>825</v>
      </c>
      <c r="C252" s="1046"/>
      <c r="D252" s="1048">
        <v>4011</v>
      </c>
      <c r="E252" s="1068"/>
      <c r="F252" s="1044">
        <v>500</v>
      </c>
    </row>
    <row r="253" spans="1:6" ht="12.95" customHeight="1">
      <c r="A253" s="1206"/>
      <c r="B253" s="606"/>
      <c r="C253" s="1046"/>
      <c r="D253" s="1048"/>
      <c r="E253" s="1068"/>
      <c r="F253" s="1044"/>
    </row>
    <row r="254" spans="1:6" ht="12.95" customHeight="1">
      <c r="A254" s="1206"/>
      <c r="B254" s="606" t="s">
        <v>826</v>
      </c>
      <c r="C254" s="1046">
        <v>6051</v>
      </c>
      <c r="D254" s="1048"/>
      <c r="E254" s="1068">
        <v>300</v>
      </c>
      <c r="F254" s="1044"/>
    </row>
    <row r="255" spans="1:6" ht="12.95" customHeight="1">
      <c r="A255" s="1206"/>
      <c r="B255" s="606" t="s">
        <v>830</v>
      </c>
      <c r="C255" s="1046"/>
      <c r="D255" s="1048">
        <v>520</v>
      </c>
      <c r="E255" s="1068"/>
      <c r="F255" s="1044">
        <v>300</v>
      </c>
    </row>
    <row r="256" spans="1:6" ht="12.95" customHeight="1">
      <c r="A256" s="1206"/>
      <c r="B256" s="606"/>
      <c r="C256" s="1046"/>
      <c r="D256" s="1048"/>
      <c r="E256" s="1068"/>
      <c r="F256" s="1044"/>
    </row>
    <row r="257" spans="1:6" ht="12.95" customHeight="1">
      <c r="A257" s="1206"/>
      <c r="B257" s="606" t="s">
        <v>955</v>
      </c>
      <c r="C257" s="1046">
        <v>6051</v>
      </c>
      <c r="D257" s="1048"/>
      <c r="E257" s="1068">
        <v>500</v>
      </c>
      <c r="F257" s="1044"/>
    </row>
    <row r="258" spans="1:6" ht="12.95" customHeight="1">
      <c r="A258" s="1206"/>
      <c r="B258" s="606" t="s">
        <v>827</v>
      </c>
      <c r="C258" s="1046">
        <v>44522</v>
      </c>
      <c r="D258" s="1048"/>
      <c r="E258" s="1068">
        <v>20</v>
      </c>
      <c r="F258" s="1044"/>
    </row>
    <row r="259" spans="1:6" ht="12.95" customHeight="1">
      <c r="A259" s="1206"/>
      <c r="B259" s="606" t="s">
        <v>825</v>
      </c>
      <c r="C259" s="1046"/>
      <c r="D259" s="1048">
        <v>4011</v>
      </c>
      <c r="E259" s="1068"/>
      <c r="F259" s="1044">
        <v>520</v>
      </c>
    </row>
    <row r="260" spans="1:6" ht="12.95" customHeight="1">
      <c r="A260" s="1206"/>
      <c r="B260" s="606"/>
      <c r="C260" s="1046"/>
      <c r="D260" s="1048"/>
      <c r="E260" s="1068"/>
      <c r="F260" s="1044"/>
    </row>
    <row r="261" spans="1:6" ht="12.95" customHeight="1">
      <c r="A261" s="1206"/>
      <c r="B261" s="606" t="s">
        <v>956</v>
      </c>
      <c r="C261" s="1046">
        <v>6052</v>
      </c>
      <c r="D261" s="1048"/>
      <c r="E261" s="1068">
        <v>100</v>
      </c>
      <c r="F261" s="1044"/>
    </row>
    <row r="262" spans="1:6" ht="12.95" customHeight="1">
      <c r="A262" s="1206"/>
      <c r="B262" s="606" t="s">
        <v>809</v>
      </c>
      <c r="C262" s="1046">
        <v>44522</v>
      </c>
      <c r="D262" s="1048"/>
      <c r="E262" s="1068">
        <v>10</v>
      </c>
      <c r="F262" s="1044"/>
    </row>
    <row r="263" spans="1:6" ht="12.95" customHeight="1">
      <c r="A263" s="1206"/>
      <c r="B263" s="606" t="s">
        <v>825</v>
      </c>
      <c r="C263" s="1046"/>
      <c r="D263" s="1048">
        <v>4011</v>
      </c>
      <c r="E263" s="1068"/>
      <c r="F263" s="1044">
        <v>110</v>
      </c>
    </row>
    <row r="264" spans="1:6" ht="12.95" customHeight="1">
      <c r="A264" s="1206"/>
      <c r="B264" s="606"/>
      <c r="C264" s="1046"/>
      <c r="D264" s="1048"/>
      <c r="E264" s="1068"/>
      <c r="F264" s="1044"/>
    </row>
    <row r="265" spans="1:6" ht="12.95" customHeight="1">
      <c r="A265" s="1206"/>
      <c r="B265" s="606" t="s">
        <v>957</v>
      </c>
      <c r="C265" s="1046">
        <v>6053</v>
      </c>
      <c r="D265" s="1048"/>
      <c r="E265" s="1068">
        <v>600</v>
      </c>
      <c r="F265" s="1044"/>
    </row>
    <row r="266" spans="1:6" ht="12.95" customHeight="1">
      <c r="A266" s="1206"/>
      <c r="B266" s="606" t="s">
        <v>828</v>
      </c>
      <c r="C266" s="1046">
        <v>44522</v>
      </c>
      <c r="D266" s="1048"/>
      <c r="E266" s="1068">
        <v>30</v>
      </c>
      <c r="F266" s="1044"/>
    </row>
    <row r="267" spans="1:6" ht="12.95" customHeight="1">
      <c r="A267" s="1206"/>
      <c r="B267" s="606" t="s">
        <v>825</v>
      </c>
      <c r="C267" s="1046"/>
      <c r="D267" s="1048">
        <v>4011</v>
      </c>
      <c r="E267" s="1068"/>
      <c r="F267" s="1044">
        <v>630</v>
      </c>
    </row>
    <row r="268" spans="1:6" ht="12.95" customHeight="1">
      <c r="A268" s="1206"/>
      <c r="B268" s="606"/>
      <c r="C268" s="1046"/>
      <c r="D268" s="1048"/>
      <c r="E268" s="1068"/>
      <c r="F268" s="1044"/>
    </row>
    <row r="269" spans="1:6" ht="12.95" customHeight="1">
      <c r="A269" s="1206"/>
      <c r="B269" s="606" t="s">
        <v>829</v>
      </c>
      <c r="C269" s="1046">
        <v>6054</v>
      </c>
      <c r="D269" s="1048"/>
      <c r="E269" s="1068">
        <v>200</v>
      </c>
      <c r="F269" s="1044"/>
    </row>
    <row r="270" spans="1:6" ht="12.95" customHeight="1">
      <c r="A270" s="1206"/>
      <c r="B270" s="606" t="s">
        <v>809</v>
      </c>
      <c r="C270" s="1046">
        <v>44522</v>
      </c>
      <c r="D270" s="1048"/>
      <c r="E270" s="1068">
        <v>20</v>
      </c>
      <c r="F270" s="1044"/>
    </row>
    <row r="271" spans="1:6" ht="12.95" customHeight="1">
      <c r="A271" s="1206"/>
      <c r="B271" s="606" t="s">
        <v>831</v>
      </c>
      <c r="C271" s="1046"/>
      <c r="D271" s="1048">
        <v>570</v>
      </c>
      <c r="E271" s="1068"/>
      <c r="F271" s="1044">
        <v>220</v>
      </c>
    </row>
    <row r="272" spans="1:6" ht="12.95" customHeight="1">
      <c r="A272" s="1206"/>
      <c r="B272" s="606"/>
      <c r="C272" s="1046"/>
      <c r="D272" s="1048"/>
      <c r="E272" s="1068"/>
      <c r="F272" s="1044"/>
    </row>
    <row r="273" spans="1:6" ht="12.95" customHeight="1">
      <c r="A273" s="1206"/>
      <c r="B273" s="606" t="s">
        <v>1447</v>
      </c>
      <c r="C273" s="1046">
        <v>6055</v>
      </c>
      <c r="D273" s="1048"/>
      <c r="E273" s="1068">
        <v>100</v>
      </c>
      <c r="F273" s="1044"/>
    </row>
    <row r="274" spans="1:6" ht="12.95" customHeight="1">
      <c r="A274" s="1206"/>
      <c r="B274" s="606" t="s">
        <v>809</v>
      </c>
      <c r="C274" s="1046">
        <v>44522</v>
      </c>
      <c r="D274" s="1048"/>
      <c r="E274" s="1068">
        <v>20</v>
      </c>
      <c r="F274" s="1044"/>
    </row>
    <row r="275" spans="1:6" ht="12.95" customHeight="1">
      <c r="A275" s="1206"/>
      <c r="B275" s="606" t="s">
        <v>830</v>
      </c>
      <c r="C275" s="1046"/>
      <c r="D275" s="1048">
        <v>520</v>
      </c>
      <c r="E275" s="1068"/>
      <c r="F275" s="1044">
        <v>120</v>
      </c>
    </row>
    <row r="276" spans="1:6" ht="12.95" customHeight="1">
      <c r="A276" s="1206"/>
      <c r="B276" s="606"/>
      <c r="C276" s="1046"/>
      <c r="D276" s="1048"/>
      <c r="E276" s="1068"/>
      <c r="F276" s="1044"/>
    </row>
    <row r="277" spans="1:6" ht="12.95" customHeight="1">
      <c r="A277" s="1206"/>
      <c r="B277" s="606" t="s">
        <v>1448</v>
      </c>
      <c r="C277" s="1046">
        <v>6056</v>
      </c>
      <c r="D277" s="1048"/>
      <c r="E277" s="1068">
        <v>300</v>
      </c>
      <c r="F277" s="1044"/>
    </row>
    <row r="278" spans="1:6" ht="12.95" customHeight="1">
      <c r="A278" s="1206"/>
      <c r="B278" s="606" t="s">
        <v>809</v>
      </c>
      <c r="C278" s="1046">
        <v>44522</v>
      </c>
      <c r="D278" s="1048"/>
      <c r="E278" s="1068">
        <v>18</v>
      </c>
      <c r="F278" s="1044"/>
    </row>
    <row r="279" spans="1:6" ht="12.95" customHeight="1">
      <c r="A279" s="1206"/>
      <c r="B279" s="606" t="s">
        <v>830</v>
      </c>
      <c r="C279" s="1046"/>
      <c r="D279" s="1048">
        <v>520</v>
      </c>
      <c r="E279" s="1068"/>
      <c r="F279" s="1044">
        <v>318</v>
      </c>
    </row>
    <row r="280" spans="1:6" ht="12.95" customHeight="1">
      <c r="A280" s="1206"/>
      <c r="B280" s="606"/>
      <c r="C280" s="1046"/>
      <c r="D280" s="1048"/>
      <c r="E280" s="1068"/>
      <c r="F280" s="1044"/>
    </row>
    <row r="281" spans="1:6" ht="12.95" customHeight="1">
      <c r="A281" s="1206"/>
      <c r="B281" s="606" t="s">
        <v>1449</v>
      </c>
      <c r="C281" s="1046">
        <v>6057</v>
      </c>
      <c r="D281" s="1048"/>
      <c r="E281" s="1068">
        <v>500</v>
      </c>
      <c r="F281" s="1044"/>
    </row>
    <row r="282" spans="1:6" ht="12.95" customHeight="1">
      <c r="A282" s="1206"/>
      <c r="B282" s="606" t="s">
        <v>809</v>
      </c>
      <c r="C282" s="1046">
        <v>44522</v>
      </c>
      <c r="D282" s="1048"/>
      <c r="E282" s="1068">
        <v>200</v>
      </c>
      <c r="F282" s="1044"/>
    </row>
    <row r="283" spans="1:6" ht="12.95" customHeight="1">
      <c r="A283" s="1206"/>
      <c r="B283" s="606" t="s">
        <v>830</v>
      </c>
      <c r="C283" s="1046"/>
      <c r="D283" s="1048">
        <v>520</v>
      </c>
      <c r="E283" s="1068"/>
      <c r="F283" s="1044">
        <v>700</v>
      </c>
    </row>
    <row r="284" spans="1:6" ht="12.95" customHeight="1">
      <c r="A284" s="1206"/>
      <c r="B284" s="606"/>
      <c r="C284" s="1046"/>
      <c r="D284" s="1048"/>
      <c r="E284" s="1068"/>
      <c r="F284" s="1044"/>
    </row>
    <row r="285" spans="1:6" ht="12.95" customHeight="1">
      <c r="A285" s="1206"/>
      <c r="B285" s="606" t="s">
        <v>1450</v>
      </c>
      <c r="C285" s="1046">
        <v>6064</v>
      </c>
      <c r="D285" s="1048"/>
      <c r="E285" s="1068">
        <v>500</v>
      </c>
      <c r="F285" s="1044"/>
    </row>
    <row r="286" spans="1:6" ht="12.95" customHeight="1">
      <c r="A286" s="1206"/>
      <c r="B286" s="606" t="s">
        <v>809</v>
      </c>
      <c r="C286" s="1046">
        <v>44522</v>
      </c>
      <c r="D286" s="1048"/>
      <c r="E286" s="1068">
        <v>200</v>
      </c>
      <c r="F286" s="1044"/>
    </row>
    <row r="287" spans="1:6" ht="12.95" customHeight="1">
      <c r="A287" s="1206"/>
      <c r="B287" s="606" t="s">
        <v>830</v>
      </c>
      <c r="C287" s="1046"/>
      <c r="D287" s="1048">
        <v>520</v>
      </c>
      <c r="E287" s="1068"/>
      <c r="F287" s="1044">
        <v>700</v>
      </c>
    </row>
    <row r="288" spans="1:6" ht="12.95" customHeight="1">
      <c r="A288" s="1206"/>
      <c r="B288" s="606"/>
      <c r="C288" s="1046"/>
      <c r="D288" s="1048"/>
      <c r="E288" s="1068"/>
      <c r="F288" s="1044"/>
    </row>
    <row r="289" spans="1:6" ht="12.95" customHeight="1">
      <c r="A289" s="1206"/>
      <c r="B289" s="606" t="s">
        <v>593</v>
      </c>
      <c r="C289" s="1046">
        <v>611</v>
      </c>
      <c r="D289" s="1048"/>
      <c r="E289" s="1068">
        <v>500</v>
      </c>
      <c r="F289" s="1044"/>
    </row>
    <row r="290" spans="1:6" ht="12.95" customHeight="1">
      <c r="A290" s="1206"/>
      <c r="B290" s="606" t="s">
        <v>809</v>
      </c>
      <c r="C290" s="1046">
        <v>44522</v>
      </c>
      <c r="D290" s="1048"/>
      <c r="E290" s="1068">
        <v>200</v>
      </c>
      <c r="F290" s="1044"/>
    </row>
    <row r="291" spans="1:6" ht="12.95" customHeight="1">
      <c r="A291" s="1206"/>
      <c r="B291" s="606" t="s">
        <v>830</v>
      </c>
      <c r="C291" s="1046"/>
      <c r="D291" s="1048">
        <v>520</v>
      </c>
      <c r="E291" s="1068"/>
      <c r="F291" s="1044">
        <v>700</v>
      </c>
    </row>
    <row r="292" spans="1:6" ht="12.95" customHeight="1">
      <c r="A292" s="1206"/>
      <c r="B292" s="606"/>
      <c r="C292" s="1046"/>
      <c r="D292" s="1048"/>
      <c r="E292" s="1068"/>
      <c r="F292" s="1044"/>
    </row>
    <row r="293" spans="1:6" ht="12.95" customHeight="1">
      <c r="A293" s="1206"/>
      <c r="B293" s="606" t="s">
        <v>371</v>
      </c>
      <c r="C293" s="1046">
        <v>621</v>
      </c>
      <c r="D293" s="1048"/>
      <c r="E293" s="1068">
        <v>500</v>
      </c>
      <c r="F293" s="1044"/>
    </row>
    <row r="294" spans="1:6" ht="12.95" customHeight="1">
      <c r="A294" s="1206"/>
      <c r="B294" s="606" t="s">
        <v>809</v>
      </c>
      <c r="C294" s="1046">
        <v>44522</v>
      </c>
      <c r="D294" s="1048"/>
      <c r="E294" s="1068">
        <v>200</v>
      </c>
      <c r="F294" s="1044"/>
    </row>
    <row r="295" spans="1:6" ht="12.95" customHeight="1">
      <c r="A295" s="1206"/>
      <c r="B295" s="606" t="s">
        <v>830</v>
      </c>
      <c r="C295" s="1046"/>
      <c r="D295" s="1048">
        <v>520</v>
      </c>
      <c r="E295" s="1068"/>
      <c r="F295" s="1044">
        <v>700</v>
      </c>
    </row>
    <row r="296" spans="1:6" ht="12.95" customHeight="1">
      <c r="A296" s="1206"/>
      <c r="B296" s="606"/>
      <c r="C296" s="1046"/>
      <c r="D296" s="1048"/>
      <c r="E296" s="1068"/>
      <c r="F296" s="1044"/>
    </row>
    <row r="297" spans="1:6" ht="12.95" customHeight="1">
      <c r="A297" s="1206"/>
      <c r="B297" s="606" t="s">
        <v>1451</v>
      </c>
      <c r="C297" s="1046">
        <v>622</v>
      </c>
      <c r="D297" s="1048"/>
      <c r="E297" s="1068">
        <v>500</v>
      </c>
      <c r="F297" s="1044"/>
    </row>
    <row r="298" spans="1:6" ht="12.95" customHeight="1">
      <c r="A298" s="1206"/>
      <c r="B298" s="606" t="s">
        <v>830</v>
      </c>
      <c r="C298" s="1046"/>
      <c r="D298" s="1048">
        <v>520</v>
      </c>
      <c r="E298" s="1068"/>
      <c r="F298" s="1044">
        <v>500</v>
      </c>
    </row>
    <row r="299" spans="1:6" ht="12.95" customHeight="1">
      <c r="A299" s="1206"/>
      <c r="B299" s="606"/>
      <c r="C299" s="1046"/>
      <c r="D299" s="1048"/>
      <c r="E299" s="1068"/>
      <c r="F299" s="1044"/>
    </row>
    <row r="300" spans="1:6" ht="12.95" customHeight="1">
      <c r="A300" s="1206"/>
      <c r="B300" s="606" t="s">
        <v>1452</v>
      </c>
      <c r="C300" s="1046">
        <v>6221</v>
      </c>
      <c r="D300" s="1048"/>
      <c r="E300" s="1068">
        <v>10000</v>
      </c>
      <c r="F300" s="1044"/>
    </row>
    <row r="301" spans="1:6" ht="12.95" customHeight="1">
      <c r="A301" s="1206"/>
      <c r="B301" s="606" t="s">
        <v>830</v>
      </c>
      <c r="C301" s="1046"/>
      <c r="D301" s="1048">
        <v>520</v>
      </c>
      <c r="E301" s="1068"/>
      <c r="F301" s="1044">
        <v>10000</v>
      </c>
    </row>
    <row r="302" spans="1:6" ht="12.95" customHeight="1">
      <c r="A302" s="1206"/>
      <c r="B302" s="606"/>
      <c r="C302" s="1046"/>
      <c r="D302" s="1048"/>
      <c r="E302" s="1068"/>
      <c r="F302" s="1044"/>
    </row>
    <row r="303" spans="1:6" ht="12.95" customHeight="1">
      <c r="A303" s="1206"/>
      <c r="B303" s="606" t="s">
        <v>1453</v>
      </c>
      <c r="C303" s="1046">
        <v>6223</v>
      </c>
      <c r="D303" s="1048"/>
      <c r="E303" s="1068">
        <v>500</v>
      </c>
      <c r="F303" s="1044"/>
    </row>
    <row r="304" spans="1:6" ht="12.95" customHeight="1">
      <c r="A304" s="1206"/>
      <c r="B304" s="606" t="s">
        <v>809</v>
      </c>
      <c r="C304" s="1046">
        <v>44522</v>
      </c>
      <c r="D304" s="1048"/>
      <c r="E304" s="1068">
        <v>200</v>
      </c>
      <c r="F304" s="1044"/>
    </row>
    <row r="305" spans="1:6" ht="12.95" customHeight="1">
      <c r="A305" s="1206"/>
      <c r="B305" s="606" t="s">
        <v>830</v>
      </c>
      <c r="C305" s="1046"/>
      <c r="D305" s="1048">
        <v>520</v>
      </c>
      <c r="E305" s="1068"/>
      <c r="F305" s="1044">
        <v>700</v>
      </c>
    </row>
    <row r="306" spans="1:6" ht="12.95" customHeight="1">
      <c r="A306" s="1206"/>
      <c r="B306" s="606"/>
      <c r="C306" s="1046"/>
      <c r="D306" s="1048"/>
      <c r="E306" s="1068"/>
      <c r="F306" s="1044"/>
    </row>
    <row r="307" spans="1:6" ht="12.95" customHeight="1">
      <c r="A307" s="1206"/>
      <c r="B307" s="606" t="s">
        <v>1454</v>
      </c>
      <c r="C307" s="1046">
        <v>6232</v>
      </c>
      <c r="D307" s="1048"/>
      <c r="E307" s="1068">
        <v>500</v>
      </c>
      <c r="F307" s="1044"/>
    </row>
    <row r="308" spans="1:6" ht="12.95" customHeight="1">
      <c r="A308" s="1206"/>
      <c r="B308" s="606" t="s">
        <v>809</v>
      </c>
      <c r="C308" s="1046">
        <v>44522</v>
      </c>
      <c r="D308" s="1048"/>
      <c r="E308" s="1068">
        <v>200</v>
      </c>
      <c r="F308" s="1044"/>
    </row>
    <row r="309" spans="1:6" ht="12.95" customHeight="1">
      <c r="A309" s="1206"/>
      <c r="B309" s="606" t="s">
        <v>830</v>
      </c>
      <c r="C309" s="1046"/>
      <c r="D309" s="1048">
        <v>520</v>
      </c>
      <c r="E309" s="1068"/>
      <c r="F309" s="1044">
        <v>700</v>
      </c>
    </row>
    <row r="310" spans="1:6" ht="12.95" customHeight="1">
      <c r="A310" s="1206"/>
      <c r="B310" s="606"/>
      <c r="C310" s="1046"/>
      <c r="D310" s="1048"/>
      <c r="E310" s="1068"/>
      <c r="F310" s="1044"/>
    </row>
    <row r="311" spans="1:6" ht="12.95" customHeight="1">
      <c r="A311" s="1206"/>
      <c r="B311" s="606" t="s">
        <v>1455</v>
      </c>
      <c r="C311" s="1046">
        <v>6243</v>
      </c>
      <c r="D311" s="1048"/>
      <c r="E311" s="1068">
        <v>500</v>
      </c>
      <c r="F311" s="1044"/>
    </row>
    <row r="312" spans="1:6" ht="12.95" customHeight="1">
      <c r="A312" s="1206"/>
      <c r="B312" s="606" t="s">
        <v>809</v>
      </c>
      <c r="C312" s="1046">
        <v>44522</v>
      </c>
      <c r="D312" s="1048"/>
      <c r="E312" s="1068">
        <v>200</v>
      </c>
      <c r="F312" s="1044"/>
    </row>
    <row r="313" spans="1:6" ht="12.95" customHeight="1">
      <c r="A313" s="1206"/>
      <c r="B313" s="606" t="s">
        <v>830</v>
      </c>
      <c r="C313" s="1046"/>
      <c r="D313" s="1048">
        <v>520</v>
      </c>
      <c r="E313" s="1068"/>
      <c r="F313" s="1044">
        <v>700</v>
      </c>
    </row>
    <row r="314" spans="1:6" ht="12.95" customHeight="1">
      <c r="A314" s="1206"/>
      <c r="B314" s="606"/>
      <c r="C314" s="1046"/>
      <c r="D314" s="1048"/>
      <c r="E314" s="1583"/>
      <c r="F314" s="1583"/>
    </row>
    <row r="315" spans="1:6" ht="12.95" customHeight="1">
      <c r="A315" s="1206"/>
      <c r="B315" s="606" t="s">
        <v>378</v>
      </c>
      <c r="C315" s="1046">
        <v>6251</v>
      </c>
      <c r="D315" s="1048">
        <v>520</v>
      </c>
      <c r="E315" s="1068">
        <v>220</v>
      </c>
      <c r="F315" s="1044">
        <v>220</v>
      </c>
    </row>
    <row r="316" spans="1:6" ht="12.95" customHeight="1">
      <c r="A316" s="1206"/>
      <c r="B316" s="606" t="s">
        <v>1456</v>
      </c>
      <c r="C316" s="1046">
        <v>6252</v>
      </c>
      <c r="D316" s="1048">
        <v>520</v>
      </c>
      <c r="E316" s="1068">
        <v>230</v>
      </c>
      <c r="F316" s="1044">
        <v>230</v>
      </c>
    </row>
    <row r="317" spans="1:6" ht="12.95" customHeight="1">
      <c r="A317" s="1206"/>
      <c r="B317" s="606" t="s">
        <v>380</v>
      </c>
      <c r="C317" s="1046">
        <v>6253</v>
      </c>
      <c r="D317" s="1048">
        <v>520</v>
      </c>
      <c r="E317" s="1068">
        <v>240</v>
      </c>
      <c r="F317" s="1044">
        <v>240</v>
      </c>
    </row>
    <row r="318" spans="1:6" ht="12.95" customHeight="1">
      <c r="A318" s="1206"/>
      <c r="B318" s="606" t="s">
        <v>1457</v>
      </c>
      <c r="C318" s="1046">
        <v>6254</v>
      </c>
      <c r="D318" s="1048">
        <v>520</v>
      </c>
      <c r="E318" s="1068">
        <v>250</v>
      </c>
      <c r="F318" s="1044">
        <v>250</v>
      </c>
    </row>
    <row r="319" spans="1:6" ht="12.95" customHeight="1">
      <c r="A319" s="1206"/>
      <c r="B319" s="606" t="s">
        <v>1458</v>
      </c>
      <c r="C319" s="1046">
        <v>6255</v>
      </c>
      <c r="D319" s="1048">
        <v>520</v>
      </c>
      <c r="E319" s="1068">
        <v>260</v>
      </c>
      <c r="F319" s="1044">
        <v>260</v>
      </c>
    </row>
    <row r="320" spans="1:6" ht="12.95" customHeight="1">
      <c r="A320" s="1206"/>
      <c r="B320" s="606" t="s">
        <v>383</v>
      </c>
      <c r="C320" s="1046">
        <v>6256</v>
      </c>
      <c r="D320" s="1048">
        <v>520</v>
      </c>
      <c r="E320" s="1068">
        <v>270</v>
      </c>
      <c r="F320" s="1044">
        <v>270</v>
      </c>
    </row>
    <row r="321" spans="1:6" ht="12.95" customHeight="1">
      <c r="A321" s="1206"/>
      <c r="B321" s="606" t="s">
        <v>1459</v>
      </c>
      <c r="C321" s="1046">
        <v>6257</v>
      </c>
      <c r="D321" s="1048">
        <v>520</v>
      </c>
      <c r="E321" s="1068">
        <v>280</v>
      </c>
      <c r="F321" s="1044">
        <v>280</v>
      </c>
    </row>
    <row r="322" spans="1:6" ht="12.95" customHeight="1">
      <c r="A322" s="1206"/>
      <c r="B322" s="606" t="s">
        <v>385</v>
      </c>
      <c r="C322" s="1046">
        <v>6258</v>
      </c>
      <c r="D322" s="1048">
        <v>520</v>
      </c>
      <c r="E322" s="1068">
        <v>290</v>
      </c>
      <c r="F322" s="1044">
        <v>290</v>
      </c>
    </row>
    <row r="323" spans="1:6" ht="12.95" customHeight="1">
      <c r="A323" s="1206"/>
      <c r="B323" s="606"/>
      <c r="C323" s="1046"/>
      <c r="D323" s="1048"/>
      <c r="E323" s="1068"/>
      <c r="F323" s="1044"/>
    </row>
    <row r="324" spans="1:6" ht="12.95" customHeight="1">
      <c r="A324" s="1206"/>
      <c r="B324" s="606" t="s">
        <v>1460</v>
      </c>
      <c r="C324" s="1046">
        <v>6271</v>
      </c>
      <c r="D324" s="1048"/>
      <c r="E324" s="1068">
        <v>800</v>
      </c>
      <c r="F324" s="1044"/>
    </row>
    <row r="325" spans="1:6" ht="12.95" customHeight="1">
      <c r="A325" s="1206"/>
      <c r="B325" s="606" t="s">
        <v>809</v>
      </c>
      <c r="C325" s="1046">
        <v>44522</v>
      </c>
      <c r="D325" s="1048"/>
      <c r="E325" s="1068">
        <v>100</v>
      </c>
      <c r="F325" s="1044"/>
    </row>
    <row r="326" spans="1:6" ht="12.95" customHeight="1">
      <c r="A326" s="1206"/>
      <c r="B326" s="606" t="s">
        <v>830</v>
      </c>
      <c r="C326" s="1046"/>
      <c r="D326" s="1048">
        <v>520</v>
      </c>
      <c r="E326" s="1068"/>
      <c r="F326" s="1044">
        <v>900</v>
      </c>
    </row>
    <row r="327" spans="1:6" ht="12.95" customHeight="1">
      <c r="A327" s="1206"/>
      <c r="B327" s="606"/>
      <c r="C327" s="1046"/>
      <c r="D327" s="1048"/>
      <c r="E327" s="1068"/>
      <c r="F327" s="1044"/>
    </row>
    <row r="328" spans="1:6" ht="12.95" customHeight="1">
      <c r="A328" s="1206"/>
      <c r="B328" s="606" t="s">
        <v>1461</v>
      </c>
      <c r="C328" s="1046">
        <v>6272</v>
      </c>
      <c r="D328" s="1048"/>
      <c r="E328" s="1068">
        <v>800</v>
      </c>
      <c r="F328" s="1044"/>
    </row>
    <row r="329" spans="1:6" ht="12.95" customHeight="1">
      <c r="A329" s="1206"/>
      <c r="B329" s="606" t="s">
        <v>809</v>
      </c>
      <c r="C329" s="1046">
        <v>44522</v>
      </c>
      <c r="D329" s="1048"/>
      <c r="E329" s="1068">
        <v>100</v>
      </c>
      <c r="F329" s="1044"/>
    </row>
    <row r="330" spans="1:6" ht="12.95" customHeight="1">
      <c r="A330" s="1206"/>
      <c r="B330" s="606" t="s">
        <v>830</v>
      </c>
      <c r="C330" s="1046"/>
      <c r="D330" s="1048">
        <v>520</v>
      </c>
      <c r="E330" s="1068"/>
      <c r="F330" s="1044">
        <v>900</v>
      </c>
    </row>
    <row r="331" spans="1:6" ht="12.95" customHeight="1">
      <c r="A331" s="1206"/>
      <c r="B331" s="606"/>
      <c r="C331" s="1046"/>
      <c r="D331" s="1048"/>
      <c r="E331" s="1068"/>
      <c r="F331" s="1044"/>
    </row>
    <row r="332" spans="1:6" ht="12.95" customHeight="1">
      <c r="A332" s="1206"/>
      <c r="B332" s="606" t="s">
        <v>1462</v>
      </c>
      <c r="C332" s="1046">
        <v>6274</v>
      </c>
      <c r="D332" s="1048"/>
      <c r="E332" s="1068">
        <v>800</v>
      </c>
      <c r="F332" s="1044"/>
    </row>
    <row r="333" spans="1:6" ht="12.95" customHeight="1">
      <c r="A333" s="1206"/>
      <c r="B333" s="606" t="s">
        <v>809</v>
      </c>
      <c r="C333" s="1046">
        <v>44522</v>
      </c>
      <c r="D333" s="1048"/>
      <c r="E333" s="1068">
        <v>100</v>
      </c>
      <c r="F333" s="1044"/>
    </row>
    <row r="334" spans="1:6" ht="12.95" customHeight="1">
      <c r="A334" s="1206"/>
      <c r="B334" s="606" t="s">
        <v>830</v>
      </c>
      <c r="C334" s="1046"/>
      <c r="D334" s="1048">
        <v>520</v>
      </c>
      <c r="E334" s="1068"/>
      <c r="F334" s="1044">
        <v>900</v>
      </c>
    </row>
    <row r="335" spans="1:6" ht="12.95" customHeight="1">
      <c r="A335" s="1206"/>
      <c r="B335" s="606"/>
      <c r="C335" s="1046"/>
      <c r="D335" s="1048"/>
      <c r="E335" s="1068"/>
      <c r="F335" s="1044"/>
    </row>
    <row r="336" spans="1:6" ht="12.95" customHeight="1">
      <c r="A336" s="1206"/>
      <c r="B336" s="606" t="s">
        <v>1463</v>
      </c>
      <c r="C336" s="1046">
        <v>6275</v>
      </c>
      <c r="D336" s="1048"/>
      <c r="E336" s="1068">
        <v>800</v>
      </c>
      <c r="F336" s="1044"/>
    </row>
    <row r="337" spans="1:6" ht="12.95" customHeight="1">
      <c r="A337" s="1206"/>
      <c r="B337" s="606" t="s">
        <v>809</v>
      </c>
      <c r="C337" s="1046">
        <v>44522</v>
      </c>
      <c r="D337" s="1048"/>
      <c r="E337" s="1068">
        <v>100</v>
      </c>
      <c r="F337" s="1044"/>
    </row>
    <row r="338" spans="1:6" ht="12.95" customHeight="1">
      <c r="A338" s="1206"/>
      <c r="B338" s="606" t="s">
        <v>830</v>
      </c>
      <c r="C338" s="1046"/>
      <c r="D338" s="1048">
        <v>520</v>
      </c>
      <c r="E338" s="1068"/>
      <c r="F338" s="1044">
        <v>900</v>
      </c>
    </row>
    <row r="339" spans="1:6" ht="12.95" customHeight="1">
      <c r="A339" s="1206"/>
      <c r="B339" s="606"/>
      <c r="C339" s="1046"/>
      <c r="D339" s="1048"/>
      <c r="E339" s="1068"/>
      <c r="F339" s="1044"/>
    </row>
    <row r="340" spans="1:6" ht="12.95" customHeight="1">
      <c r="A340" s="1206"/>
      <c r="B340" s="606" t="s">
        <v>1464</v>
      </c>
      <c r="C340" s="1046">
        <v>6276</v>
      </c>
      <c r="D340" s="1048"/>
      <c r="E340" s="1068">
        <v>800</v>
      </c>
      <c r="F340" s="1044"/>
    </row>
    <row r="341" spans="1:6" ht="12.95" customHeight="1">
      <c r="A341" s="1206"/>
      <c r="B341" s="606" t="s">
        <v>809</v>
      </c>
      <c r="C341" s="1046">
        <v>44522</v>
      </c>
      <c r="D341" s="1048"/>
      <c r="E341" s="1068">
        <v>100</v>
      </c>
      <c r="F341" s="1044"/>
    </row>
    <row r="342" spans="1:6" ht="12.95" customHeight="1">
      <c r="A342" s="1206"/>
      <c r="B342" s="606" t="s">
        <v>830</v>
      </c>
      <c r="C342" s="1046"/>
      <c r="D342" s="1048">
        <v>520</v>
      </c>
      <c r="E342" s="1068"/>
      <c r="F342" s="1044">
        <v>900</v>
      </c>
    </row>
    <row r="343" spans="1:6" ht="12.95" customHeight="1">
      <c r="A343" s="1206"/>
      <c r="B343" s="606"/>
      <c r="C343" s="1046"/>
      <c r="D343" s="1048"/>
      <c r="E343" s="1068"/>
      <c r="F343" s="1044"/>
    </row>
    <row r="344" spans="1:6" ht="12.95" customHeight="1">
      <c r="A344" s="1206"/>
      <c r="B344" s="606" t="s">
        <v>1465</v>
      </c>
      <c r="C344" s="1046">
        <v>6277</v>
      </c>
      <c r="D344" s="1048"/>
      <c r="E344" s="1068">
        <v>800</v>
      </c>
      <c r="F344" s="1044"/>
    </row>
    <row r="345" spans="1:6" ht="12.95" customHeight="1">
      <c r="A345" s="1206"/>
      <c r="B345" s="606" t="s">
        <v>809</v>
      </c>
      <c r="C345" s="1046">
        <v>44522</v>
      </c>
      <c r="D345" s="1048"/>
      <c r="E345" s="1068">
        <v>100</v>
      </c>
      <c r="F345" s="1044"/>
    </row>
    <row r="346" spans="1:6" ht="12.95" customHeight="1">
      <c r="A346" s="1206"/>
      <c r="B346" s="606" t="s">
        <v>830</v>
      </c>
      <c r="C346" s="1046"/>
      <c r="D346" s="1048">
        <v>520</v>
      </c>
      <c r="E346" s="1068"/>
      <c r="F346" s="1044">
        <v>900</v>
      </c>
    </row>
    <row r="347" spans="1:6" ht="12.95" customHeight="1">
      <c r="A347" s="1206"/>
      <c r="B347" s="606"/>
      <c r="C347" s="1046"/>
      <c r="D347" s="1048"/>
      <c r="E347" s="1068"/>
      <c r="F347" s="1044"/>
    </row>
    <row r="348" spans="1:6" ht="12.95" customHeight="1">
      <c r="A348" s="1206"/>
      <c r="B348" s="606" t="s">
        <v>1536</v>
      </c>
      <c r="C348" s="1046">
        <v>6278</v>
      </c>
      <c r="D348" s="1048"/>
      <c r="E348" s="1068">
        <v>800</v>
      </c>
      <c r="F348" s="1044"/>
    </row>
    <row r="349" spans="1:6" ht="12.95" customHeight="1">
      <c r="A349" s="1206"/>
      <c r="B349" s="606" t="s">
        <v>809</v>
      </c>
      <c r="C349" s="1046">
        <v>44522</v>
      </c>
      <c r="D349" s="1048"/>
      <c r="E349" s="1068">
        <v>100</v>
      </c>
      <c r="F349" s="1044"/>
    </row>
    <row r="350" spans="1:6" ht="12.95" customHeight="1">
      <c r="A350" s="1206"/>
      <c r="B350" s="606" t="s">
        <v>830</v>
      </c>
      <c r="C350" s="1046"/>
      <c r="D350" s="1048">
        <v>520</v>
      </c>
      <c r="E350" s="1068"/>
      <c r="F350" s="1044">
        <v>900</v>
      </c>
    </row>
    <row r="351" spans="1:6" ht="12.95" customHeight="1">
      <c r="A351" s="1206"/>
      <c r="B351" s="606"/>
      <c r="C351" s="1046"/>
      <c r="D351" s="1048"/>
      <c r="E351" s="1068"/>
      <c r="F351" s="1044"/>
    </row>
    <row r="352" spans="1:6" ht="12.95" customHeight="1">
      <c r="A352" s="1206"/>
      <c r="B352" s="606" t="s">
        <v>1466</v>
      </c>
      <c r="C352" s="1046">
        <v>6281</v>
      </c>
      <c r="D352" s="1048"/>
      <c r="E352" s="1068">
        <v>800</v>
      </c>
      <c r="F352" s="1044"/>
    </row>
    <row r="353" spans="1:6" ht="12.95" customHeight="1">
      <c r="A353" s="1206"/>
      <c r="B353" s="606" t="s">
        <v>809</v>
      </c>
      <c r="C353" s="1046">
        <v>44522</v>
      </c>
      <c r="D353" s="1048"/>
      <c r="E353" s="1068">
        <v>100</v>
      </c>
      <c r="F353" s="1044"/>
    </row>
    <row r="354" spans="1:6" ht="12.95" customHeight="1">
      <c r="A354" s="1206"/>
      <c r="B354" s="606" t="s">
        <v>830</v>
      </c>
      <c r="C354" s="1046"/>
      <c r="D354" s="1048">
        <v>520</v>
      </c>
      <c r="E354" s="1068"/>
      <c r="F354" s="1044">
        <v>900</v>
      </c>
    </row>
    <row r="355" spans="1:6" ht="12.95" customHeight="1">
      <c r="A355" s="1206"/>
      <c r="B355" s="606"/>
      <c r="C355" s="1046"/>
      <c r="D355" s="1048"/>
      <c r="E355" s="1068"/>
      <c r="F355" s="1044"/>
    </row>
    <row r="356" spans="1:6" ht="12.95" customHeight="1">
      <c r="A356" s="1206"/>
      <c r="B356" s="606" t="s">
        <v>395</v>
      </c>
      <c r="C356" s="1046">
        <v>6282</v>
      </c>
      <c r="D356" s="1048"/>
      <c r="E356" s="1068">
        <v>800</v>
      </c>
      <c r="F356" s="1044"/>
    </row>
    <row r="357" spans="1:6" ht="12.95" customHeight="1">
      <c r="A357" s="1206"/>
      <c r="B357" s="606" t="s">
        <v>809</v>
      </c>
      <c r="C357" s="1046">
        <v>44522</v>
      </c>
      <c r="D357" s="1048"/>
      <c r="E357" s="1068">
        <v>100</v>
      </c>
      <c r="F357" s="1044"/>
    </row>
    <row r="358" spans="1:6" ht="12.95" customHeight="1">
      <c r="A358" s="1206"/>
      <c r="B358" s="606" t="s">
        <v>830</v>
      </c>
      <c r="C358" s="1046"/>
      <c r="D358" s="1048">
        <v>520</v>
      </c>
      <c r="E358" s="1068"/>
      <c r="F358" s="1044">
        <v>900</v>
      </c>
    </row>
    <row r="359" spans="1:6" ht="12.95" customHeight="1">
      <c r="A359" s="1206"/>
      <c r="B359" s="606" t="s">
        <v>396</v>
      </c>
      <c r="C359" s="1046">
        <v>6283</v>
      </c>
      <c r="D359" s="1048"/>
      <c r="E359" s="1068">
        <v>800</v>
      </c>
      <c r="F359" s="1044"/>
    </row>
    <row r="360" spans="1:6" ht="12.95" customHeight="1">
      <c r="A360" s="1206"/>
      <c r="B360" s="606" t="s">
        <v>809</v>
      </c>
      <c r="C360" s="1046">
        <v>44522</v>
      </c>
      <c r="D360" s="1048"/>
      <c r="E360" s="1068">
        <v>100</v>
      </c>
      <c r="F360" s="1044"/>
    </row>
    <row r="361" spans="1:6" ht="12.95" customHeight="1">
      <c r="A361" s="1206"/>
      <c r="B361" s="606" t="s">
        <v>830</v>
      </c>
      <c r="C361" s="1046"/>
      <c r="D361" s="1048">
        <v>520</v>
      </c>
      <c r="E361" s="1068"/>
      <c r="F361" s="1044">
        <v>900</v>
      </c>
    </row>
    <row r="362" spans="1:6" ht="12.95" customHeight="1">
      <c r="A362" s="1206"/>
      <c r="B362" s="606" t="s">
        <v>1537</v>
      </c>
      <c r="C362" s="1046">
        <v>6288</v>
      </c>
      <c r="D362" s="1048"/>
      <c r="E362" s="1068">
        <v>800</v>
      </c>
      <c r="F362" s="1044"/>
    </row>
    <row r="363" spans="1:6" ht="12.95" customHeight="1">
      <c r="A363" s="1206"/>
      <c r="B363" s="606" t="s">
        <v>809</v>
      </c>
      <c r="C363" s="1046">
        <v>44522</v>
      </c>
      <c r="D363" s="1048"/>
      <c r="E363" s="1068">
        <v>100</v>
      </c>
      <c r="F363" s="1044"/>
    </row>
    <row r="364" spans="1:6" ht="12.95" customHeight="1">
      <c r="A364" s="1206"/>
      <c r="B364" s="606" t="s">
        <v>830</v>
      </c>
      <c r="C364" s="1046"/>
      <c r="D364" s="1048">
        <v>520</v>
      </c>
      <c r="E364" s="1068"/>
      <c r="F364" s="1044">
        <v>900</v>
      </c>
    </row>
    <row r="365" spans="1:6" ht="12.95" customHeight="1">
      <c r="A365" s="1206"/>
      <c r="B365" s="606" t="s">
        <v>1467</v>
      </c>
      <c r="C365" s="1046">
        <v>6324</v>
      </c>
      <c r="D365" s="1048"/>
      <c r="E365" s="1068">
        <v>800</v>
      </c>
      <c r="F365" s="1044"/>
    </row>
    <row r="366" spans="1:6" ht="12.95" customHeight="1">
      <c r="A366" s="1206"/>
      <c r="B366" s="606" t="s">
        <v>809</v>
      </c>
      <c r="C366" s="1046">
        <v>44522</v>
      </c>
      <c r="D366" s="1048"/>
      <c r="E366" s="1068">
        <v>100</v>
      </c>
      <c r="F366" s="1044"/>
    </row>
    <row r="367" spans="1:6" ht="12.95" customHeight="1">
      <c r="A367" s="1206"/>
      <c r="B367" s="606" t="s">
        <v>830</v>
      </c>
      <c r="C367" s="1046"/>
      <c r="D367" s="1048">
        <v>520</v>
      </c>
      <c r="E367" s="1068"/>
      <c r="F367" s="1044">
        <v>900</v>
      </c>
    </row>
    <row r="368" spans="1:6" ht="12.95" customHeight="1">
      <c r="A368" s="1206"/>
      <c r="B368" s="606" t="s">
        <v>1468</v>
      </c>
      <c r="C368" s="1046">
        <v>6325</v>
      </c>
      <c r="D368" s="1048"/>
      <c r="E368" s="1068">
        <v>800</v>
      </c>
      <c r="F368" s="1044"/>
    </row>
    <row r="369" spans="1:6" ht="12.95" customHeight="1">
      <c r="A369" s="1206"/>
      <c r="B369" s="606" t="s">
        <v>809</v>
      </c>
      <c r="C369" s="1046">
        <v>44522</v>
      </c>
      <c r="D369" s="1048"/>
      <c r="E369" s="1068">
        <v>100</v>
      </c>
      <c r="F369" s="1044"/>
    </row>
    <row r="370" spans="1:6" ht="12.95" customHeight="1">
      <c r="A370" s="1206"/>
      <c r="B370" s="606" t="s">
        <v>830</v>
      </c>
      <c r="C370" s="1046"/>
      <c r="D370" s="1048">
        <v>520</v>
      </c>
      <c r="E370" s="1068"/>
      <c r="F370" s="1044">
        <v>900</v>
      </c>
    </row>
    <row r="371" spans="1:6" ht="12.95" customHeight="1">
      <c r="A371" s="1206"/>
      <c r="B371" s="606" t="s">
        <v>400</v>
      </c>
      <c r="C371" s="1046">
        <v>6328</v>
      </c>
      <c r="D371" s="1048"/>
      <c r="E371" s="1068">
        <v>800</v>
      </c>
      <c r="F371" s="1044"/>
    </row>
    <row r="372" spans="1:6" ht="12.95" customHeight="1">
      <c r="A372" s="1206"/>
      <c r="B372" s="606" t="s">
        <v>809</v>
      </c>
      <c r="C372" s="1046">
        <v>44522</v>
      </c>
      <c r="D372" s="1048"/>
      <c r="E372" s="1068">
        <v>100</v>
      </c>
      <c r="F372" s="1044"/>
    </row>
    <row r="373" spans="1:6" ht="12.95" customHeight="1">
      <c r="A373" s="1206"/>
      <c r="B373" s="606" t="s">
        <v>830</v>
      </c>
      <c r="C373" s="1046"/>
      <c r="D373" s="1048">
        <v>520</v>
      </c>
      <c r="E373" s="1068"/>
      <c r="F373" s="1044">
        <v>900</v>
      </c>
    </row>
    <row r="374" spans="1:6" ht="12.95" customHeight="1">
      <c r="A374" s="1206"/>
      <c r="B374" s="606" t="s">
        <v>1469</v>
      </c>
      <c r="C374" s="1046">
        <v>6342</v>
      </c>
      <c r="D374" s="1048"/>
      <c r="E374" s="1068">
        <v>800</v>
      </c>
      <c r="F374" s="1044"/>
    </row>
    <row r="375" spans="1:6" ht="12.95" customHeight="1">
      <c r="A375" s="1206"/>
      <c r="B375" s="606" t="s">
        <v>809</v>
      </c>
      <c r="C375" s="1046">
        <v>44522</v>
      </c>
      <c r="D375" s="1048"/>
      <c r="E375" s="1068">
        <v>100</v>
      </c>
      <c r="F375" s="1044"/>
    </row>
    <row r="376" spans="1:6" ht="12.95" customHeight="1">
      <c r="A376" s="1206"/>
      <c r="B376" s="606" t="s">
        <v>830</v>
      </c>
      <c r="C376" s="1046"/>
      <c r="D376" s="1048">
        <v>520</v>
      </c>
      <c r="E376" s="1068"/>
      <c r="F376" s="1044">
        <v>900</v>
      </c>
    </row>
    <row r="377" spans="1:6" ht="12.95" customHeight="1">
      <c r="A377" s="1206"/>
      <c r="B377" s="606" t="s">
        <v>1470</v>
      </c>
      <c r="C377" s="1046">
        <v>6350</v>
      </c>
      <c r="D377" s="1048"/>
      <c r="E377" s="1068">
        <v>800</v>
      </c>
      <c r="F377" s="1044"/>
    </row>
    <row r="378" spans="1:6" ht="12.95" customHeight="1">
      <c r="A378" s="1206"/>
      <c r="B378" s="606" t="s">
        <v>809</v>
      </c>
      <c r="C378" s="1046">
        <v>44522</v>
      </c>
      <c r="D378" s="1048"/>
      <c r="E378" s="1068">
        <v>100</v>
      </c>
      <c r="F378" s="1044"/>
    </row>
    <row r="379" spans="1:6" ht="12.95" customHeight="1">
      <c r="A379" s="1206"/>
      <c r="B379" s="606" t="s">
        <v>830</v>
      </c>
      <c r="C379" s="1046"/>
      <c r="D379" s="1048">
        <v>520</v>
      </c>
      <c r="E379" s="1068"/>
      <c r="F379" s="1044">
        <v>900</v>
      </c>
    </row>
    <row r="380" spans="1:6" ht="12.95" customHeight="1">
      <c r="A380" s="1206"/>
      <c r="B380" s="606" t="s">
        <v>1471</v>
      </c>
      <c r="C380" s="1046">
        <v>6222</v>
      </c>
      <c r="D380" s="1048"/>
      <c r="E380" s="1068">
        <v>800</v>
      </c>
      <c r="F380" s="1044"/>
    </row>
    <row r="381" spans="1:6" ht="12.95" customHeight="1">
      <c r="A381" s="1206"/>
      <c r="B381" s="606" t="s">
        <v>809</v>
      </c>
      <c r="C381" s="1046">
        <v>44522</v>
      </c>
      <c r="D381" s="1048"/>
      <c r="E381" s="1068">
        <v>100</v>
      </c>
      <c r="F381" s="1044"/>
    </row>
    <row r="382" spans="1:6" ht="12.95" customHeight="1">
      <c r="A382" s="1206"/>
      <c r="B382" s="606" t="s">
        <v>830</v>
      </c>
      <c r="C382" s="1046"/>
      <c r="D382" s="1048">
        <v>520</v>
      </c>
      <c r="E382" s="1068"/>
      <c r="F382" s="1044">
        <v>900</v>
      </c>
    </row>
    <row r="383" spans="1:6" ht="12.95" customHeight="1">
      <c r="A383" s="1206"/>
      <c r="B383" s="606" t="s">
        <v>1472</v>
      </c>
      <c r="C383" s="1046">
        <v>6260</v>
      </c>
      <c r="D383" s="1048"/>
      <c r="E383" s="1068">
        <v>800</v>
      </c>
      <c r="F383" s="1044"/>
    </row>
    <row r="384" spans="1:6" ht="12.95" customHeight="1">
      <c r="A384" s="1206"/>
      <c r="B384" s="606" t="s">
        <v>809</v>
      </c>
      <c r="C384" s="1046">
        <v>44522</v>
      </c>
      <c r="D384" s="1048"/>
      <c r="E384" s="1068">
        <v>100</v>
      </c>
      <c r="F384" s="1044"/>
    </row>
    <row r="385" spans="1:6" ht="12.95" customHeight="1">
      <c r="A385" s="1206"/>
      <c r="B385" s="606" t="s">
        <v>830</v>
      </c>
      <c r="C385" s="1046"/>
      <c r="D385" s="1048">
        <v>520</v>
      </c>
      <c r="E385" s="1068"/>
      <c r="F385" s="1044">
        <v>900</v>
      </c>
    </row>
    <row r="386" spans="1:6" ht="12.95" customHeight="1">
      <c r="A386" s="1206"/>
      <c r="B386" s="606" t="s">
        <v>958</v>
      </c>
      <c r="C386" s="1046">
        <v>520</v>
      </c>
      <c r="D386" s="1048"/>
      <c r="E386" s="1068">
        <v>50000</v>
      </c>
      <c r="F386" s="1044"/>
    </row>
    <row r="387" spans="1:6" ht="12.95" customHeight="1">
      <c r="A387" s="1206"/>
      <c r="B387" s="606" t="s">
        <v>1474</v>
      </c>
      <c r="C387" s="1046"/>
      <c r="D387" s="1048">
        <v>162</v>
      </c>
      <c r="E387" s="1068"/>
      <c r="F387" s="1044">
        <v>50000</v>
      </c>
    </row>
    <row r="388" spans="1:6" ht="12.95" customHeight="1">
      <c r="A388" s="1206"/>
      <c r="B388" s="606" t="s">
        <v>959</v>
      </c>
      <c r="C388" s="1046">
        <v>162</v>
      </c>
      <c r="D388" s="1048"/>
      <c r="E388" s="1068">
        <v>10000</v>
      </c>
      <c r="F388" s="1044"/>
    </row>
    <row r="389" spans="1:6" ht="12.95" customHeight="1">
      <c r="A389" s="1206"/>
      <c r="B389" s="606" t="s">
        <v>1538</v>
      </c>
      <c r="C389" s="1046">
        <v>6710</v>
      </c>
      <c r="D389" s="1048"/>
      <c r="E389" s="1068">
        <v>25000</v>
      </c>
      <c r="F389" s="1044"/>
    </row>
    <row r="390" spans="1:6" ht="12.95" customHeight="1">
      <c r="A390" s="1206"/>
      <c r="B390" s="606" t="s">
        <v>830</v>
      </c>
      <c r="C390" s="1046"/>
      <c r="D390" s="1048">
        <v>520</v>
      </c>
      <c r="E390" s="1068"/>
      <c r="F390" s="1044">
        <v>35000</v>
      </c>
    </row>
    <row r="391" spans="1:6" ht="12.95" customHeight="1">
      <c r="A391" s="1206"/>
      <c r="B391" s="606"/>
      <c r="C391" s="1046"/>
      <c r="D391" s="1048"/>
      <c r="E391" s="1583"/>
      <c r="F391" s="1583"/>
    </row>
    <row r="392" spans="1:6" ht="12.95" customHeight="1">
      <c r="A392" s="1206"/>
      <c r="B392" s="606" t="s">
        <v>960</v>
      </c>
      <c r="C392" s="1046">
        <v>6740</v>
      </c>
      <c r="D392" s="1048"/>
      <c r="E392" s="1068">
        <v>200</v>
      </c>
      <c r="F392" s="1044"/>
    </row>
    <row r="393" spans="1:6" ht="12.95" customHeight="1">
      <c r="A393" s="1206"/>
      <c r="B393" s="606" t="s">
        <v>809</v>
      </c>
      <c r="C393" s="1046">
        <v>44522</v>
      </c>
      <c r="D393" s="1048"/>
      <c r="E393" s="1068">
        <v>50</v>
      </c>
      <c r="F393" s="1044"/>
    </row>
    <row r="394" spans="1:6" ht="12.95" customHeight="1">
      <c r="A394" s="1206"/>
      <c r="B394" s="606" t="s">
        <v>830</v>
      </c>
      <c r="C394" s="1046"/>
      <c r="D394" s="1048">
        <v>520</v>
      </c>
      <c r="E394" s="1068"/>
      <c r="F394" s="1044">
        <v>250</v>
      </c>
    </row>
    <row r="395" spans="1:6" ht="12.95" customHeight="1">
      <c r="A395" s="1206"/>
      <c r="B395" s="606"/>
      <c r="C395" s="1046"/>
      <c r="D395" s="1048"/>
      <c r="E395" s="1068"/>
      <c r="F395" s="1044"/>
    </row>
    <row r="396" spans="1:6" ht="12.95" customHeight="1">
      <c r="A396" s="1206"/>
      <c r="B396" s="606" t="s">
        <v>961</v>
      </c>
      <c r="C396" s="1046">
        <v>6013</v>
      </c>
      <c r="D396" s="1048"/>
      <c r="E396" s="1068">
        <v>650000</v>
      </c>
      <c r="F396" s="1044"/>
    </row>
    <row r="397" spans="1:6" ht="12.95" customHeight="1">
      <c r="A397" s="1206"/>
      <c r="B397" s="606" t="s">
        <v>945</v>
      </c>
      <c r="C397" s="1046"/>
      <c r="D397" s="1048">
        <v>4012</v>
      </c>
      <c r="E397" s="1068"/>
      <c r="F397" s="1044">
        <v>650000</v>
      </c>
    </row>
    <row r="398" spans="1:6" ht="12.95" customHeight="1">
      <c r="A398" s="1206"/>
      <c r="B398" s="606" t="s">
        <v>962</v>
      </c>
      <c r="C398" s="1046">
        <v>4012</v>
      </c>
      <c r="D398" s="1048"/>
      <c r="E398" s="1068">
        <v>650000</v>
      </c>
      <c r="F398" s="1044"/>
    </row>
    <row r="399" spans="1:6" ht="12.95" customHeight="1">
      <c r="A399" s="1206"/>
      <c r="B399" s="606" t="s">
        <v>830</v>
      </c>
      <c r="C399" s="1046"/>
      <c r="D399" s="1048">
        <v>520</v>
      </c>
      <c r="E399" s="1068"/>
      <c r="F399" s="1044">
        <v>649000</v>
      </c>
    </row>
    <row r="400" spans="1:6" ht="12.95" customHeight="1">
      <c r="A400" s="1206"/>
      <c r="B400" s="606" t="s">
        <v>615</v>
      </c>
      <c r="C400" s="1046"/>
      <c r="D400" s="1048">
        <v>776</v>
      </c>
      <c r="E400" s="1068"/>
      <c r="F400" s="1044">
        <v>1000</v>
      </c>
    </row>
    <row r="401" spans="1:6" ht="12.95" customHeight="1">
      <c r="A401" s="1206"/>
      <c r="B401" s="606" t="s">
        <v>963</v>
      </c>
      <c r="C401" s="1046">
        <v>4012</v>
      </c>
      <c r="D401" s="1048"/>
      <c r="E401" s="1068">
        <v>650000</v>
      </c>
      <c r="F401" s="1044"/>
    </row>
    <row r="402" spans="1:6" ht="12.95" customHeight="1">
      <c r="A402" s="1206"/>
      <c r="B402" s="606" t="s">
        <v>617</v>
      </c>
      <c r="C402" s="1046">
        <v>6760</v>
      </c>
      <c r="D402" s="1048"/>
      <c r="E402" s="1068">
        <v>1000</v>
      </c>
      <c r="F402" s="1044"/>
    </row>
    <row r="403" spans="1:6" ht="12.95" customHeight="1">
      <c r="A403" s="1206"/>
      <c r="B403" s="606" t="s">
        <v>830</v>
      </c>
      <c r="C403" s="1046"/>
      <c r="D403" s="1048">
        <v>520</v>
      </c>
      <c r="E403" s="1068"/>
      <c r="F403" s="1044">
        <v>651000</v>
      </c>
    </row>
    <row r="404" spans="1:6" ht="12.95" customHeight="1">
      <c r="A404" s="1206"/>
      <c r="B404" s="606"/>
      <c r="C404" s="1046"/>
      <c r="D404" s="1048"/>
      <c r="E404" s="1068"/>
      <c r="F404" s="1044"/>
    </row>
    <row r="405" spans="1:6" ht="12.95" customHeight="1">
      <c r="A405" s="1206"/>
      <c r="B405" s="606" t="s">
        <v>964</v>
      </c>
      <c r="C405" s="1046">
        <v>260</v>
      </c>
      <c r="D405" s="1048"/>
      <c r="E405" s="1068">
        <v>1000</v>
      </c>
      <c r="F405" s="1044"/>
    </row>
    <row r="406" spans="1:6" ht="12.95" customHeight="1">
      <c r="A406" s="1206"/>
      <c r="B406" s="606" t="s">
        <v>1539</v>
      </c>
      <c r="C406" s="1047">
        <v>6740</v>
      </c>
      <c r="D406" s="1048"/>
      <c r="E406" s="1068">
        <v>200</v>
      </c>
      <c r="F406" s="1044"/>
    </row>
    <row r="407" spans="1:6" ht="12.95" customHeight="1">
      <c r="A407" s="1206"/>
      <c r="B407" s="606" t="s">
        <v>830</v>
      </c>
      <c r="C407" s="1046"/>
      <c r="D407" s="1048">
        <v>520</v>
      </c>
      <c r="E407" s="1068"/>
      <c r="F407" s="1044">
        <v>1200</v>
      </c>
    </row>
    <row r="408" spans="1:6" ht="12.95" customHeight="1">
      <c r="A408" s="1206"/>
      <c r="B408" s="606" t="s">
        <v>965</v>
      </c>
      <c r="C408" s="1046">
        <v>520</v>
      </c>
      <c r="D408" s="1048"/>
      <c r="E408" s="1068">
        <v>900</v>
      </c>
      <c r="F408" s="1044"/>
    </row>
    <row r="409" spans="1:6" ht="12.95" customHeight="1">
      <c r="A409" s="1206"/>
      <c r="B409" s="606" t="s">
        <v>833</v>
      </c>
      <c r="C409" s="1047">
        <v>813</v>
      </c>
      <c r="D409" s="1048"/>
      <c r="E409" s="1068">
        <v>100</v>
      </c>
      <c r="F409" s="1044"/>
    </row>
    <row r="410" spans="1:6" ht="12.95" customHeight="1">
      <c r="A410" s="1206"/>
      <c r="B410" s="606" t="s">
        <v>1540</v>
      </c>
      <c r="C410" s="1046"/>
      <c r="D410" s="1048">
        <v>260</v>
      </c>
      <c r="E410" s="1068"/>
      <c r="F410" s="1044">
        <v>1000</v>
      </c>
    </row>
    <row r="411" spans="1:6" ht="12.95" customHeight="1">
      <c r="A411" s="1206"/>
      <c r="B411" s="606" t="s">
        <v>966</v>
      </c>
      <c r="C411" s="1046">
        <v>520</v>
      </c>
      <c r="D411" s="1048"/>
      <c r="E411" s="1068">
        <v>1100</v>
      </c>
      <c r="F411" s="1044"/>
    </row>
    <row r="412" spans="1:6" ht="12.95" customHeight="1">
      <c r="A412" s="1206"/>
      <c r="B412" s="606" t="s">
        <v>967</v>
      </c>
      <c r="C412" s="1046"/>
      <c r="D412" s="1048">
        <v>8230</v>
      </c>
      <c r="E412" s="1068"/>
      <c r="F412" s="1044">
        <v>100</v>
      </c>
    </row>
    <row r="413" spans="1:6" ht="12.95" customHeight="1">
      <c r="A413" s="1206"/>
      <c r="B413" s="606" t="s">
        <v>1540</v>
      </c>
      <c r="C413" s="1046"/>
      <c r="D413" s="1048">
        <v>260</v>
      </c>
      <c r="E413" s="1068"/>
      <c r="F413" s="1044">
        <v>1000</v>
      </c>
    </row>
    <row r="414" spans="1:6" ht="12.95" customHeight="1">
      <c r="A414" s="1206"/>
      <c r="B414" s="606"/>
      <c r="C414" s="1046"/>
      <c r="D414" s="1048"/>
      <c r="E414" s="1068"/>
      <c r="F414" s="1044"/>
    </row>
    <row r="415" spans="1:6" ht="12.95" customHeight="1">
      <c r="A415" s="1206"/>
      <c r="B415" s="606" t="s">
        <v>968</v>
      </c>
      <c r="C415" s="1046">
        <v>266</v>
      </c>
      <c r="D415" s="1048">
        <v>774</v>
      </c>
      <c r="E415" s="1068">
        <v>200</v>
      </c>
      <c r="F415" s="1044">
        <v>200</v>
      </c>
    </row>
    <row r="416" spans="1:6" ht="12.95" customHeight="1">
      <c r="A416" s="1206"/>
      <c r="B416" s="606" t="s">
        <v>830</v>
      </c>
      <c r="C416" s="1046">
        <v>520</v>
      </c>
      <c r="D416" s="1048">
        <v>774</v>
      </c>
      <c r="E416" s="1068">
        <v>200</v>
      </c>
      <c r="F416" s="1044">
        <v>200</v>
      </c>
    </row>
    <row r="417" spans="1:6" ht="12.95" customHeight="1">
      <c r="A417" s="1206"/>
      <c r="B417" s="606"/>
      <c r="C417" s="1046"/>
      <c r="D417" s="1048"/>
      <c r="E417" s="1068"/>
      <c r="F417" s="1044"/>
    </row>
    <row r="418" spans="1:6" ht="12.95" customHeight="1">
      <c r="A418" s="1206"/>
      <c r="B418" s="606" t="s">
        <v>969</v>
      </c>
      <c r="C418" s="1046">
        <v>272</v>
      </c>
      <c r="D418" s="1048"/>
      <c r="E418" s="1068">
        <v>10000</v>
      </c>
      <c r="F418" s="1044"/>
    </row>
    <row r="419" spans="1:6" ht="12.95" customHeight="1">
      <c r="A419" s="1206"/>
      <c r="B419" s="606" t="s">
        <v>835</v>
      </c>
      <c r="C419" s="1047">
        <v>6740</v>
      </c>
      <c r="D419" s="1048"/>
      <c r="E419" s="1068">
        <v>1000</v>
      </c>
      <c r="F419" s="1044"/>
    </row>
    <row r="420" spans="1:6" ht="12.95" customHeight="1">
      <c r="A420" s="1206"/>
      <c r="B420" s="606" t="s">
        <v>1541</v>
      </c>
      <c r="C420" s="1046">
        <v>44522</v>
      </c>
      <c r="D420" s="1048"/>
      <c r="E420" s="1068">
        <v>20</v>
      </c>
      <c r="F420" s="1044"/>
    </row>
    <row r="421" spans="1:6" ht="12.95" customHeight="1">
      <c r="A421" s="1206"/>
      <c r="B421" s="606" t="s">
        <v>830</v>
      </c>
      <c r="C421" s="1046"/>
      <c r="D421" s="1048">
        <v>520</v>
      </c>
      <c r="E421" s="1068"/>
      <c r="F421" s="1044">
        <v>11020</v>
      </c>
    </row>
    <row r="422" spans="1:6" ht="12.95" customHeight="1">
      <c r="A422" s="1206"/>
      <c r="B422" s="606"/>
      <c r="C422" s="1046"/>
      <c r="D422" s="1048"/>
      <c r="E422" s="1068"/>
      <c r="F422" s="1044"/>
    </row>
    <row r="423" spans="1:6" ht="12.95" customHeight="1">
      <c r="A423" s="1206"/>
      <c r="B423" s="606" t="s">
        <v>970</v>
      </c>
      <c r="C423" s="1046">
        <v>271</v>
      </c>
      <c r="D423" s="1048"/>
      <c r="E423" s="1068">
        <v>200</v>
      </c>
      <c r="F423" s="1044"/>
    </row>
    <row r="424" spans="1:6" ht="12.95" customHeight="1">
      <c r="A424" s="1206"/>
      <c r="B424" s="606" t="s">
        <v>835</v>
      </c>
      <c r="C424" s="1047">
        <v>6740</v>
      </c>
      <c r="D424" s="1048"/>
      <c r="E424" s="1068">
        <v>10</v>
      </c>
      <c r="F424" s="1044"/>
    </row>
    <row r="425" spans="1:6" ht="12.95" customHeight="1">
      <c r="A425" s="1206"/>
      <c r="B425" s="606" t="s">
        <v>1541</v>
      </c>
      <c r="C425" s="1046">
        <v>44522</v>
      </c>
      <c r="D425" s="1048"/>
      <c r="E425" s="1068">
        <v>2</v>
      </c>
      <c r="F425" s="1044"/>
    </row>
    <row r="426" spans="1:6" ht="12.95" customHeight="1">
      <c r="A426" s="1206"/>
      <c r="B426" s="606" t="s">
        <v>830</v>
      </c>
      <c r="C426" s="1046"/>
      <c r="D426" s="1048">
        <v>520</v>
      </c>
      <c r="E426" s="1068"/>
      <c r="F426" s="1044">
        <v>212</v>
      </c>
    </row>
    <row r="427" spans="1:6" ht="12.95" customHeight="1">
      <c r="A427" s="1206"/>
      <c r="B427" s="606" t="s">
        <v>971</v>
      </c>
      <c r="C427" s="1046">
        <v>520</v>
      </c>
      <c r="D427" s="1048"/>
      <c r="E427" s="1068">
        <v>300</v>
      </c>
      <c r="F427" s="1044"/>
    </row>
    <row r="428" spans="1:6" ht="12.95" customHeight="1">
      <c r="A428" s="1206"/>
      <c r="B428" s="606" t="s">
        <v>972</v>
      </c>
      <c r="C428" s="1047">
        <v>6740</v>
      </c>
      <c r="D428" s="1048"/>
      <c r="E428" s="1068">
        <v>20</v>
      </c>
      <c r="F428" s="1044"/>
    </row>
    <row r="429" spans="1:6" ht="12.95" customHeight="1">
      <c r="A429" s="1206"/>
      <c r="B429" s="606" t="s">
        <v>838</v>
      </c>
      <c r="C429" s="1046">
        <v>44312</v>
      </c>
      <c r="D429" s="1048"/>
      <c r="E429" s="1068">
        <v>10</v>
      </c>
      <c r="F429" s="1044"/>
    </row>
    <row r="430" spans="1:6" ht="12.95" customHeight="1">
      <c r="A430" s="1206"/>
      <c r="B430" s="606" t="s">
        <v>834</v>
      </c>
      <c r="C430" s="1046"/>
      <c r="D430" s="1048">
        <v>8230</v>
      </c>
      <c r="E430" s="1068"/>
      <c r="F430" s="1044">
        <v>330</v>
      </c>
    </row>
    <row r="431" spans="1:6" ht="12.95" customHeight="1">
      <c r="A431" s="1206"/>
      <c r="B431" s="606" t="s">
        <v>973</v>
      </c>
      <c r="C431" s="1046">
        <v>813</v>
      </c>
      <c r="D431" s="1048">
        <v>271</v>
      </c>
      <c r="E431" s="1068">
        <v>200</v>
      </c>
      <c r="F431" s="1044">
        <v>200</v>
      </c>
    </row>
    <row r="432" spans="1:6" ht="12.95" customHeight="1">
      <c r="A432" s="1206"/>
      <c r="B432" s="606"/>
      <c r="C432" s="1046"/>
      <c r="D432" s="1048"/>
      <c r="E432" s="1068"/>
      <c r="F432" s="1044"/>
    </row>
    <row r="433" spans="1:6" ht="12.95" customHeight="1">
      <c r="A433" s="1206"/>
      <c r="B433" s="606" t="s">
        <v>839</v>
      </c>
      <c r="C433" s="1046">
        <v>520</v>
      </c>
      <c r="D433" s="1048">
        <v>774</v>
      </c>
      <c r="E433" s="1068">
        <v>1000</v>
      </c>
      <c r="F433" s="1044">
        <v>1000</v>
      </c>
    </row>
    <row r="434" spans="1:6" ht="12.95" customHeight="1">
      <c r="A434" s="1206"/>
      <c r="B434" s="606" t="s">
        <v>840</v>
      </c>
      <c r="C434" s="1046">
        <v>520</v>
      </c>
      <c r="D434" s="1048">
        <v>774</v>
      </c>
      <c r="E434" s="1068">
        <v>1000</v>
      </c>
      <c r="F434" s="1044">
        <v>1000</v>
      </c>
    </row>
    <row r="435" spans="1:6" ht="12.95" customHeight="1">
      <c r="A435" s="1206"/>
      <c r="B435" s="606"/>
      <c r="C435" s="1046"/>
      <c r="D435" s="1048"/>
      <c r="E435" s="1068"/>
      <c r="F435" s="1044"/>
    </row>
    <row r="436" spans="1:6" ht="12.95" customHeight="1">
      <c r="A436" s="1206"/>
      <c r="B436" s="606" t="s">
        <v>974</v>
      </c>
      <c r="C436" s="1046">
        <v>501</v>
      </c>
      <c r="D436" s="1048"/>
      <c r="E436" s="1068">
        <v>5000</v>
      </c>
      <c r="F436" s="1044"/>
    </row>
    <row r="437" spans="1:6" ht="12.95" customHeight="1">
      <c r="A437" s="1206"/>
      <c r="B437" s="606" t="s">
        <v>841</v>
      </c>
      <c r="C437" s="1047">
        <v>6740</v>
      </c>
      <c r="D437" s="1048"/>
      <c r="E437" s="1068">
        <v>20</v>
      </c>
      <c r="F437" s="1044"/>
    </row>
    <row r="438" spans="1:6" ht="12.95" customHeight="1">
      <c r="A438" s="1206"/>
      <c r="B438" s="606" t="s">
        <v>842</v>
      </c>
      <c r="C438" s="1046">
        <v>44522</v>
      </c>
      <c r="D438" s="1048"/>
      <c r="E438" s="1068">
        <v>10</v>
      </c>
      <c r="F438" s="1044"/>
    </row>
    <row r="439" spans="1:6" ht="12.95" customHeight="1">
      <c r="A439" s="1206"/>
      <c r="B439" s="606" t="s">
        <v>830</v>
      </c>
      <c r="C439" s="1046"/>
      <c r="D439" s="1048">
        <v>520</v>
      </c>
      <c r="E439" s="1068"/>
      <c r="F439" s="1044">
        <v>5030</v>
      </c>
    </row>
    <row r="440" spans="1:6" ht="12.95" customHeight="1">
      <c r="A440" s="1206"/>
      <c r="B440" s="606"/>
      <c r="C440" s="1046"/>
      <c r="D440" s="1048"/>
      <c r="E440" s="1068"/>
      <c r="F440" s="1044"/>
    </row>
    <row r="441" spans="1:6" ht="12.95" customHeight="1">
      <c r="A441" s="1206"/>
      <c r="B441" s="606" t="s">
        <v>975</v>
      </c>
      <c r="C441" s="1046">
        <v>506</v>
      </c>
      <c r="D441" s="1048"/>
      <c r="E441" s="1068">
        <v>10000</v>
      </c>
      <c r="F441" s="1044"/>
    </row>
    <row r="442" spans="1:6" ht="12.95" customHeight="1">
      <c r="A442" s="1206"/>
      <c r="B442" s="606" t="s">
        <v>837</v>
      </c>
      <c r="C442" s="1047">
        <v>6740</v>
      </c>
      <c r="D442" s="1048"/>
      <c r="E442" s="1068">
        <v>200</v>
      </c>
      <c r="F442" s="1044"/>
    </row>
    <row r="443" spans="1:6" ht="12.95" customHeight="1">
      <c r="A443" s="1206"/>
      <c r="B443" s="606" t="s">
        <v>842</v>
      </c>
      <c r="C443" s="1046">
        <v>44522</v>
      </c>
      <c r="D443" s="1048"/>
      <c r="E443" s="1068">
        <v>100</v>
      </c>
      <c r="F443" s="1044"/>
    </row>
    <row r="444" spans="1:6" ht="12.95" customHeight="1">
      <c r="A444" s="1206"/>
      <c r="B444" s="606" t="s">
        <v>830</v>
      </c>
      <c r="C444" s="1046"/>
      <c r="D444" s="1048">
        <v>520</v>
      </c>
      <c r="E444" s="1068"/>
      <c r="F444" s="1044">
        <v>10300</v>
      </c>
    </row>
    <row r="445" spans="1:6" ht="12.95" customHeight="1">
      <c r="A445" s="1206"/>
      <c r="B445" s="606"/>
      <c r="C445" s="1046"/>
      <c r="D445" s="1048"/>
      <c r="E445" s="1583"/>
      <c r="F445" s="1583"/>
    </row>
    <row r="446" spans="1:6" ht="12.95" customHeight="1">
      <c r="A446" s="1206"/>
      <c r="B446" s="606" t="s">
        <v>976</v>
      </c>
      <c r="C446" s="1046">
        <v>520</v>
      </c>
      <c r="D446" s="1050"/>
      <c r="E446" s="1068">
        <v>3100</v>
      </c>
      <c r="F446" s="1044"/>
    </row>
    <row r="447" spans="1:6" ht="12.95" customHeight="1">
      <c r="A447" s="1206"/>
      <c r="B447" s="606" t="s">
        <v>843</v>
      </c>
      <c r="C447" s="1046"/>
      <c r="D447" s="1048">
        <v>777</v>
      </c>
      <c r="E447" s="1068"/>
      <c r="F447" s="1044">
        <v>100</v>
      </c>
    </row>
    <row r="448" spans="1:6" ht="12.95" customHeight="1">
      <c r="A448" s="1206"/>
      <c r="B448" s="606" t="s">
        <v>977</v>
      </c>
      <c r="C448" s="1046"/>
      <c r="D448" s="1048">
        <v>501</v>
      </c>
      <c r="E448" s="1068"/>
      <c r="F448" s="1044">
        <v>3000</v>
      </c>
    </row>
    <row r="449" spans="1:6" ht="12.95" customHeight="1">
      <c r="A449" s="1206"/>
      <c r="B449" s="606" t="s">
        <v>978</v>
      </c>
      <c r="C449" s="1046">
        <v>520</v>
      </c>
      <c r="D449" s="1050"/>
      <c r="E449" s="1068">
        <v>4800</v>
      </c>
      <c r="F449" s="1044"/>
    </row>
    <row r="450" spans="1:6" ht="12.95" customHeight="1">
      <c r="A450" s="1206"/>
      <c r="B450" s="606" t="s">
        <v>844</v>
      </c>
      <c r="C450" s="1046">
        <v>6770</v>
      </c>
      <c r="D450" s="1048"/>
      <c r="E450" s="1068">
        <v>200</v>
      </c>
      <c r="F450" s="1044"/>
    </row>
    <row r="451" spans="1:6" ht="12.95" customHeight="1">
      <c r="A451" s="1206"/>
      <c r="B451" s="606" t="s">
        <v>1542</v>
      </c>
      <c r="C451" s="1046"/>
      <c r="D451" s="1048">
        <v>506</v>
      </c>
      <c r="E451" s="1068"/>
      <c r="F451" s="1044">
        <v>5000</v>
      </c>
    </row>
    <row r="452" spans="1:6" ht="12.95" customHeight="1">
      <c r="A452" s="1206"/>
      <c r="B452" s="606"/>
      <c r="C452" s="1046"/>
      <c r="D452" s="1048"/>
      <c r="E452" s="1068"/>
      <c r="F452" s="1044"/>
    </row>
    <row r="453" spans="1:6" ht="12.95" customHeight="1">
      <c r="A453" s="1206"/>
      <c r="B453" s="606" t="s">
        <v>845</v>
      </c>
      <c r="C453" s="1046">
        <v>520</v>
      </c>
      <c r="D453" s="1048">
        <v>777</v>
      </c>
      <c r="E453" s="1068">
        <v>20000</v>
      </c>
      <c r="F453" s="1044">
        <v>20000</v>
      </c>
    </row>
    <row r="454" spans="1:6" ht="12.95" customHeight="1">
      <c r="A454" s="1206"/>
      <c r="B454" s="606" t="s">
        <v>1543</v>
      </c>
      <c r="C454" s="1046">
        <v>520</v>
      </c>
      <c r="D454" s="1048">
        <v>777</v>
      </c>
      <c r="E454" s="1068">
        <v>6000</v>
      </c>
      <c r="F454" s="1044">
        <v>6000</v>
      </c>
    </row>
    <row r="455" spans="1:6" ht="12.95" customHeight="1">
      <c r="A455" s="1206"/>
      <c r="B455" s="606"/>
      <c r="C455" s="1046"/>
      <c r="D455" s="1048"/>
      <c r="E455" s="1068"/>
      <c r="F455" s="1044"/>
    </row>
    <row r="456" spans="1:6" ht="12.95" customHeight="1">
      <c r="A456" s="1206"/>
      <c r="B456" s="606" t="s">
        <v>979</v>
      </c>
      <c r="C456" s="1046">
        <v>4091</v>
      </c>
      <c r="D456" s="1048">
        <v>520</v>
      </c>
      <c r="E456" s="1068">
        <v>5000</v>
      </c>
      <c r="F456" s="1044">
        <v>5000</v>
      </c>
    </row>
    <row r="457" spans="1:6" ht="12.95" customHeight="1">
      <c r="A457" s="1206"/>
      <c r="B457" s="606" t="s">
        <v>980</v>
      </c>
      <c r="C457" s="1046">
        <v>241</v>
      </c>
      <c r="D457" s="1048"/>
      <c r="E457" s="1068">
        <v>250000</v>
      </c>
      <c r="F457" s="1044"/>
    </row>
    <row r="458" spans="1:6" ht="12.95" customHeight="1">
      <c r="A458" s="1206"/>
      <c r="B458" s="606" t="s">
        <v>1544</v>
      </c>
      <c r="C458" s="1046">
        <v>44512</v>
      </c>
      <c r="D458" s="1048"/>
      <c r="E458" s="1068">
        <v>20000</v>
      </c>
      <c r="F458" s="1044"/>
    </row>
    <row r="459" spans="1:6" ht="12.95" customHeight="1">
      <c r="A459" s="1206"/>
      <c r="B459" s="606" t="s">
        <v>979</v>
      </c>
      <c r="C459" s="1046"/>
      <c r="D459" s="1048">
        <v>4091</v>
      </c>
      <c r="E459" s="1068"/>
      <c r="F459" s="1044">
        <v>5000</v>
      </c>
    </row>
    <row r="460" spans="1:6" ht="12.95" customHeight="1">
      <c r="A460" s="1206"/>
      <c r="B460" s="606" t="s">
        <v>825</v>
      </c>
      <c r="C460" s="1046"/>
      <c r="D460" s="1048">
        <v>4011</v>
      </c>
      <c r="E460" s="1068"/>
      <c r="F460" s="1044">
        <v>265000</v>
      </c>
    </row>
    <row r="461" spans="1:6" ht="12.95" customHeight="1">
      <c r="A461" s="1206"/>
      <c r="B461" s="606"/>
      <c r="C461" s="1046"/>
      <c r="D461" s="1048"/>
      <c r="E461" s="1068"/>
      <c r="F461" s="1044"/>
    </row>
    <row r="462" spans="1:6" ht="12.95" customHeight="1">
      <c r="A462" s="1206"/>
      <c r="B462" s="606" t="s">
        <v>1545</v>
      </c>
      <c r="C462" s="1046">
        <v>232</v>
      </c>
      <c r="D462" s="1048"/>
      <c r="E462" s="1068">
        <v>20000</v>
      </c>
      <c r="F462" s="1044"/>
    </row>
    <row r="463" spans="1:6" ht="12.95" customHeight="1">
      <c r="A463" s="1206"/>
      <c r="B463" s="606" t="s">
        <v>1544</v>
      </c>
      <c r="C463" s="1046">
        <v>44512</v>
      </c>
      <c r="D463" s="1048"/>
      <c r="E463" s="1068">
        <v>2000</v>
      </c>
      <c r="F463" s="1044"/>
    </row>
    <row r="464" spans="1:6" ht="12.95" customHeight="1">
      <c r="A464" s="1206"/>
      <c r="B464" s="606" t="s">
        <v>825</v>
      </c>
      <c r="C464" s="1046"/>
      <c r="D464" s="1048">
        <v>4011</v>
      </c>
      <c r="E464" s="1068"/>
      <c r="F464" s="1044">
        <v>22000</v>
      </c>
    </row>
    <row r="465" spans="1:6" ht="12.95" customHeight="1">
      <c r="A465" s="1206"/>
      <c r="B465" s="606"/>
      <c r="C465" s="1046"/>
      <c r="D465" s="1048"/>
      <c r="E465" s="1068"/>
      <c r="F465" s="1044"/>
    </row>
    <row r="466" spans="1:6" ht="12.95" customHeight="1">
      <c r="A466" s="1206"/>
      <c r="B466" s="606" t="s">
        <v>1546</v>
      </c>
      <c r="C466" s="1046">
        <v>233</v>
      </c>
      <c r="D466" s="1048"/>
      <c r="E466" s="1068">
        <v>20000</v>
      </c>
      <c r="F466" s="1044"/>
    </row>
    <row r="467" spans="1:6" ht="12.95" customHeight="1">
      <c r="A467" s="1206"/>
      <c r="B467" s="606" t="s">
        <v>1544</v>
      </c>
      <c r="C467" s="1046">
        <v>44512</v>
      </c>
      <c r="D467" s="1048"/>
      <c r="E467" s="1068">
        <v>2000</v>
      </c>
      <c r="F467" s="1044"/>
    </row>
    <row r="468" spans="1:6" ht="12.95" customHeight="1">
      <c r="A468" s="1206"/>
      <c r="B468" s="606" t="s">
        <v>825</v>
      </c>
      <c r="C468" s="1046"/>
      <c r="D468" s="1048">
        <v>4011</v>
      </c>
      <c r="E468" s="1068"/>
      <c r="F468" s="1044">
        <v>22000</v>
      </c>
    </row>
    <row r="469" spans="1:6" ht="12.95" customHeight="1">
      <c r="A469" s="1206"/>
      <c r="B469" s="606"/>
      <c r="C469" s="1046"/>
      <c r="D469" s="1048"/>
      <c r="E469" s="1068"/>
      <c r="F469" s="1044"/>
    </row>
    <row r="470" spans="1:6" ht="12.95" customHeight="1">
      <c r="A470" s="1206"/>
      <c r="B470" s="606" t="s">
        <v>1547</v>
      </c>
      <c r="C470" s="1046">
        <v>234</v>
      </c>
      <c r="D470" s="1048"/>
      <c r="E470" s="1068">
        <v>20000</v>
      </c>
      <c r="F470" s="1044"/>
    </row>
    <row r="471" spans="1:6" ht="12.95" customHeight="1">
      <c r="A471" s="1206"/>
      <c r="B471" s="606" t="s">
        <v>1544</v>
      </c>
      <c r="C471" s="1046">
        <v>44512</v>
      </c>
      <c r="D471" s="1048"/>
      <c r="E471" s="1068">
        <v>2000</v>
      </c>
      <c r="F471" s="1044"/>
    </row>
    <row r="472" spans="1:6" ht="12.95" customHeight="1">
      <c r="A472" s="1206"/>
      <c r="B472" s="606" t="s">
        <v>825</v>
      </c>
      <c r="C472" s="1046"/>
      <c r="D472" s="1048">
        <v>4011</v>
      </c>
      <c r="E472" s="1068"/>
      <c r="F472" s="1044">
        <v>22000</v>
      </c>
    </row>
    <row r="473" spans="1:6" ht="12.95" customHeight="1">
      <c r="A473" s="1206"/>
      <c r="B473" s="606"/>
      <c r="C473" s="1046"/>
      <c r="D473" s="1048"/>
      <c r="E473" s="1068"/>
      <c r="F473" s="1044"/>
    </row>
    <row r="474" spans="1:6" ht="12.95" customHeight="1">
      <c r="A474" s="1206"/>
      <c r="B474" s="606" t="s">
        <v>1548</v>
      </c>
      <c r="C474" s="1046">
        <v>235</v>
      </c>
      <c r="D474" s="1048"/>
      <c r="E474" s="1068">
        <v>20000</v>
      </c>
      <c r="F474" s="1044"/>
    </row>
    <row r="475" spans="1:6" ht="12.95" customHeight="1">
      <c r="A475" s="1206"/>
      <c r="B475" s="606" t="s">
        <v>1544</v>
      </c>
      <c r="C475" s="1046">
        <v>44512</v>
      </c>
      <c r="D475" s="1048"/>
      <c r="E475" s="1068">
        <v>2000</v>
      </c>
      <c r="F475" s="1044"/>
    </row>
    <row r="476" spans="1:6" ht="12.95" customHeight="1">
      <c r="A476" s="1206"/>
      <c r="B476" s="606" t="s">
        <v>825</v>
      </c>
      <c r="C476" s="1046"/>
      <c r="D476" s="1048">
        <v>4011</v>
      </c>
      <c r="E476" s="1068"/>
      <c r="F476" s="1044">
        <v>22000</v>
      </c>
    </row>
    <row r="477" spans="1:6" ht="12.95" customHeight="1">
      <c r="A477" s="1206"/>
      <c r="B477" s="606"/>
      <c r="C477" s="1046"/>
      <c r="D477" s="1048"/>
      <c r="E477" s="1068"/>
      <c r="F477" s="1044"/>
    </row>
    <row r="478" spans="1:6" ht="12.95" customHeight="1">
      <c r="A478" s="1206"/>
      <c r="B478" s="606" t="s">
        <v>1549</v>
      </c>
      <c r="C478" s="1046">
        <v>242</v>
      </c>
      <c r="D478" s="1048"/>
      <c r="E478" s="1068">
        <v>20000</v>
      </c>
      <c r="F478" s="1044"/>
    </row>
    <row r="479" spans="1:6" ht="12.95" customHeight="1">
      <c r="A479" s="1206"/>
      <c r="B479" s="606" t="s">
        <v>1544</v>
      </c>
      <c r="C479" s="1046">
        <v>44512</v>
      </c>
      <c r="D479" s="1048"/>
      <c r="E479" s="1068">
        <v>2000</v>
      </c>
      <c r="F479" s="1044"/>
    </row>
    <row r="480" spans="1:6" ht="12.95" customHeight="1">
      <c r="A480" s="1206"/>
      <c r="B480" s="606" t="s">
        <v>825</v>
      </c>
      <c r="C480" s="1046"/>
      <c r="D480" s="1048">
        <v>4011</v>
      </c>
      <c r="E480" s="1068"/>
      <c r="F480" s="1044">
        <v>22000</v>
      </c>
    </row>
    <row r="481" spans="1:6" ht="12.95" customHeight="1">
      <c r="A481" s="1206"/>
      <c r="B481" s="606"/>
      <c r="C481" s="1046"/>
      <c r="D481" s="1048"/>
      <c r="E481" s="1068"/>
      <c r="F481" s="1044"/>
    </row>
    <row r="482" spans="1:6" ht="12.95" customHeight="1">
      <c r="A482" s="1206"/>
      <c r="B482" s="606" t="s">
        <v>1550</v>
      </c>
      <c r="C482" s="1046">
        <v>243</v>
      </c>
      <c r="D482" s="1048"/>
      <c r="E482" s="1068">
        <v>20000</v>
      </c>
      <c r="F482" s="1044"/>
    </row>
    <row r="483" spans="1:6" ht="12.95" customHeight="1">
      <c r="A483" s="1206"/>
      <c r="B483" s="606" t="s">
        <v>1544</v>
      </c>
      <c r="C483" s="1046">
        <v>44512</v>
      </c>
      <c r="D483" s="1048"/>
      <c r="E483" s="1068">
        <v>2000</v>
      </c>
      <c r="F483" s="1044"/>
    </row>
    <row r="484" spans="1:6" ht="12.95" customHeight="1">
      <c r="A484" s="1206"/>
      <c r="B484" s="606" t="s">
        <v>825</v>
      </c>
      <c r="C484" s="1046"/>
      <c r="D484" s="1048">
        <v>4011</v>
      </c>
      <c r="E484" s="1068"/>
      <c r="F484" s="1044">
        <v>22000</v>
      </c>
    </row>
    <row r="485" spans="1:6" ht="12.95" customHeight="1">
      <c r="A485" s="1206"/>
      <c r="B485" s="606"/>
      <c r="C485" s="1046"/>
      <c r="D485" s="1048"/>
      <c r="E485" s="1068"/>
      <c r="F485" s="1044"/>
    </row>
    <row r="486" spans="1:6" ht="12.95" customHeight="1">
      <c r="A486" s="1206"/>
      <c r="B486" s="606" t="s">
        <v>1551</v>
      </c>
      <c r="C486" s="1046">
        <v>244</v>
      </c>
      <c r="D486" s="1048"/>
      <c r="E486" s="1068">
        <v>20000</v>
      </c>
      <c r="F486" s="1044"/>
    </row>
    <row r="487" spans="1:6" ht="12.95" customHeight="1">
      <c r="A487" s="1206"/>
      <c r="B487" s="606" t="s">
        <v>1544</v>
      </c>
      <c r="C487" s="1046">
        <v>44512</v>
      </c>
      <c r="D487" s="1048"/>
      <c r="E487" s="1068">
        <v>2000</v>
      </c>
      <c r="F487" s="1044"/>
    </row>
    <row r="488" spans="1:6" ht="12.95" customHeight="1">
      <c r="A488" s="1206"/>
      <c r="B488" s="606" t="s">
        <v>825</v>
      </c>
      <c r="C488" s="1046"/>
      <c r="D488" s="1048">
        <v>4011</v>
      </c>
      <c r="E488" s="1068"/>
      <c r="F488" s="1044">
        <v>22000</v>
      </c>
    </row>
    <row r="489" spans="1:6" ht="12.95" customHeight="1">
      <c r="A489" s="1206"/>
      <c r="B489" s="606"/>
      <c r="C489" s="1046"/>
      <c r="D489" s="1048"/>
      <c r="E489" s="1068"/>
      <c r="F489" s="1044"/>
    </row>
    <row r="490" spans="1:6" ht="12.95" customHeight="1">
      <c r="A490" s="1206"/>
      <c r="B490" s="606" t="s">
        <v>1552</v>
      </c>
      <c r="C490" s="1046">
        <v>245</v>
      </c>
      <c r="D490" s="1048"/>
      <c r="E490" s="1068">
        <v>20000</v>
      </c>
      <c r="F490" s="1044"/>
    </row>
    <row r="491" spans="1:6" ht="12.95" customHeight="1">
      <c r="A491" s="1206"/>
      <c r="B491" s="606" t="s">
        <v>1544</v>
      </c>
      <c r="C491" s="1046">
        <v>44512</v>
      </c>
      <c r="D491" s="1048"/>
      <c r="E491" s="1068">
        <v>2000</v>
      </c>
      <c r="F491" s="1044"/>
    </row>
    <row r="492" spans="1:6" ht="12.95" customHeight="1">
      <c r="A492" s="1206"/>
      <c r="B492" s="606" t="s">
        <v>825</v>
      </c>
      <c r="C492" s="1046"/>
      <c r="D492" s="1048">
        <v>4011</v>
      </c>
      <c r="E492" s="1068"/>
      <c r="F492" s="1044">
        <v>22000</v>
      </c>
    </row>
    <row r="493" spans="1:6" ht="12.95" customHeight="1">
      <c r="A493" s="1206"/>
      <c r="B493" s="606"/>
      <c r="C493" s="1046"/>
      <c r="D493" s="1048"/>
      <c r="E493" s="1068"/>
      <c r="F493" s="1044"/>
    </row>
    <row r="494" spans="1:6" ht="12.95" customHeight="1">
      <c r="A494" s="1206"/>
      <c r="B494" s="606" t="s">
        <v>1553</v>
      </c>
      <c r="C494" s="1046">
        <v>246</v>
      </c>
      <c r="D494" s="1048"/>
      <c r="E494" s="1068">
        <v>20000</v>
      </c>
      <c r="F494" s="1044"/>
    </row>
    <row r="495" spans="1:6" ht="12.95" customHeight="1">
      <c r="A495" s="1206"/>
      <c r="B495" s="606" t="s">
        <v>1544</v>
      </c>
      <c r="C495" s="1046">
        <v>44512</v>
      </c>
      <c r="D495" s="1048"/>
      <c r="E495" s="1068">
        <v>2000</v>
      </c>
      <c r="F495" s="1044"/>
    </row>
    <row r="496" spans="1:6" ht="12.95" customHeight="1">
      <c r="A496" s="1206"/>
      <c r="B496" s="606" t="s">
        <v>825</v>
      </c>
      <c r="C496" s="1046"/>
      <c r="D496" s="1048">
        <v>4011</v>
      </c>
      <c r="E496" s="1068"/>
      <c r="F496" s="1044">
        <v>22000</v>
      </c>
    </row>
    <row r="497" spans="1:6" ht="12.95" customHeight="1">
      <c r="A497" s="1206"/>
      <c r="B497" s="606"/>
      <c r="C497" s="1046"/>
      <c r="D497" s="1048"/>
      <c r="E497" s="1068"/>
      <c r="F497" s="1044"/>
    </row>
    <row r="498" spans="1:6" ht="12.95" customHeight="1">
      <c r="A498" s="1206"/>
      <c r="B498" s="606" t="s">
        <v>1554</v>
      </c>
      <c r="C498" s="1046">
        <v>249</v>
      </c>
      <c r="D498" s="1048"/>
      <c r="E498" s="1068">
        <v>20000</v>
      </c>
      <c r="F498" s="1044"/>
    </row>
    <row r="499" spans="1:6" ht="12.95" customHeight="1">
      <c r="A499" s="1206"/>
      <c r="B499" s="606" t="s">
        <v>1544</v>
      </c>
      <c r="C499" s="1046">
        <v>44512</v>
      </c>
      <c r="D499" s="1048"/>
      <c r="E499" s="1068">
        <v>2000</v>
      </c>
      <c r="F499" s="1044"/>
    </row>
    <row r="500" spans="1:6" ht="12.95" customHeight="1">
      <c r="A500" s="1206"/>
      <c r="B500" s="606" t="s">
        <v>825</v>
      </c>
      <c r="C500" s="1046"/>
      <c r="D500" s="1048">
        <v>4011</v>
      </c>
      <c r="E500" s="1068"/>
      <c r="F500" s="1044">
        <v>22000</v>
      </c>
    </row>
    <row r="501" spans="1:6" ht="12.95" customHeight="1">
      <c r="A501" s="1206"/>
      <c r="B501" s="606"/>
      <c r="C501" s="1046"/>
      <c r="D501" s="1048"/>
      <c r="E501" s="1068"/>
      <c r="F501" s="1044"/>
    </row>
    <row r="502" spans="1:6" ht="12.95" customHeight="1">
      <c r="A502" s="1206"/>
      <c r="B502" s="606" t="s">
        <v>1557</v>
      </c>
      <c r="C502" s="1046">
        <v>212</v>
      </c>
      <c r="D502" s="1048"/>
      <c r="E502" s="1068">
        <v>20000</v>
      </c>
      <c r="F502" s="1044"/>
    </row>
    <row r="503" spans="1:6" ht="12.95" customHeight="1">
      <c r="A503" s="1206"/>
      <c r="B503" s="606" t="s">
        <v>1544</v>
      </c>
      <c r="C503" s="1046">
        <v>44512</v>
      </c>
      <c r="D503" s="1048"/>
      <c r="E503" s="1068">
        <v>2000</v>
      </c>
      <c r="F503" s="1044"/>
    </row>
    <row r="504" spans="1:6" ht="12.95" customHeight="1">
      <c r="A504" s="1206"/>
      <c r="B504" s="606" t="s">
        <v>825</v>
      </c>
      <c r="C504" s="1046"/>
      <c r="D504" s="1048">
        <v>4011</v>
      </c>
      <c r="E504" s="1068"/>
      <c r="F504" s="1044">
        <v>22000</v>
      </c>
    </row>
    <row r="505" spans="1:6" ht="12.95" customHeight="1">
      <c r="A505" s="1206"/>
      <c r="B505" s="606"/>
      <c r="C505" s="1046"/>
      <c r="D505" s="1048"/>
      <c r="E505" s="1068"/>
      <c r="F505" s="1044"/>
    </row>
    <row r="506" spans="1:6" ht="12.95" customHeight="1">
      <c r="A506" s="1206"/>
      <c r="B506" s="606" t="s">
        <v>1556</v>
      </c>
      <c r="C506" s="1046">
        <v>213</v>
      </c>
      <c r="D506" s="1048"/>
      <c r="E506" s="1068">
        <v>20000</v>
      </c>
      <c r="F506" s="1044"/>
    </row>
    <row r="507" spans="1:6" ht="12.95" customHeight="1">
      <c r="A507" s="1206"/>
      <c r="B507" s="606" t="s">
        <v>1544</v>
      </c>
      <c r="C507" s="1046">
        <v>44512</v>
      </c>
      <c r="D507" s="1048"/>
      <c r="E507" s="1068">
        <v>2000</v>
      </c>
      <c r="F507" s="1044"/>
    </row>
    <row r="508" spans="1:6" ht="12.95" customHeight="1">
      <c r="A508" s="1206"/>
      <c r="B508" s="606" t="s">
        <v>825</v>
      </c>
      <c r="C508" s="1046"/>
      <c r="D508" s="1048">
        <v>4011</v>
      </c>
      <c r="E508" s="1068"/>
      <c r="F508" s="1044">
        <v>22000</v>
      </c>
    </row>
    <row r="509" spans="1:6" ht="12.95" customHeight="1">
      <c r="A509" s="1206"/>
      <c r="B509" s="606"/>
      <c r="C509" s="1046"/>
      <c r="D509" s="1048"/>
      <c r="E509" s="1068"/>
      <c r="F509" s="1044"/>
    </row>
    <row r="510" spans="1:6" ht="12.95" customHeight="1">
      <c r="A510" s="1206"/>
      <c r="B510" s="606" t="s">
        <v>1555</v>
      </c>
      <c r="C510" s="1046">
        <v>218</v>
      </c>
      <c r="D510" s="1048"/>
      <c r="E510" s="1068">
        <v>20000</v>
      </c>
      <c r="F510" s="1044"/>
    </row>
    <row r="511" spans="1:6" ht="12.95" customHeight="1">
      <c r="A511" s="1206"/>
      <c r="B511" s="606" t="s">
        <v>1544</v>
      </c>
      <c r="C511" s="1046">
        <v>44512</v>
      </c>
      <c r="D511" s="1048"/>
      <c r="E511" s="1068">
        <v>2000</v>
      </c>
      <c r="F511" s="1044"/>
    </row>
    <row r="512" spans="1:6" ht="12.95" customHeight="1">
      <c r="A512" s="1206"/>
      <c r="B512" s="606" t="s">
        <v>825</v>
      </c>
      <c r="C512" s="1046"/>
      <c r="D512" s="1048">
        <v>4011</v>
      </c>
      <c r="E512" s="1068"/>
      <c r="F512" s="1044">
        <v>22000</v>
      </c>
    </row>
    <row r="513" spans="1:6" ht="12.95" customHeight="1">
      <c r="A513" s="1206"/>
      <c r="B513" s="606"/>
      <c r="C513" s="1046"/>
      <c r="D513" s="1048"/>
      <c r="E513" s="1068"/>
      <c r="F513" s="1044"/>
    </row>
    <row r="514" spans="1:6" ht="12.95" customHeight="1">
      <c r="A514" s="1206"/>
      <c r="B514" s="606" t="s">
        <v>981</v>
      </c>
      <c r="C514" s="1046">
        <v>221</v>
      </c>
      <c r="D514" s="1048"/>
      <c r="E514" s="1068">
        <v>10000</v>
      </c>
      <c r="F514" s="1044"/>
    </row>
    <row r="515" spans="1:6" ht="12.95" customHeight="1">
      <c r="A515" s="1206"/>
      <c r="B515" s="606" t="s">
        <v>846</v>
      </c>
      <c r="C515" s="1046">
        <v>6324</v>
      </c>
      <c r="D515" s="1048"/>
      <c r="E515" s="1068">
        <v>500</v>
      </c>
      <c r="F515" s="1044"/>
    </row>
    <row r="516" spans="1:6" ht="12.95" customHeight="1">
      <c r="A516" s="1206"/>
      <c r="B516" s="606" t="s">
        <v>847</v>
      </c>
      <c r="C516" s="1046">
        <v>6350</v>
      </c>
      <c r="D516" s="1048"/>
      <c r="E516" s="1068">
        <v>300</v>
      </c>
      <c r="F516" s="1044"/>
    </row>
    <row r="517" spans="1:6" ht="12.95" customHeight="1">
      <c r="A517" s="1206"/>
      <c r="B517" s="606" t="s">
        <v>832</v>
      </c>
      <c r="C517" s="1046">
        <v>44522</v>
      </c>
      <c r="D517" s="1048"/>
      <c r="E517" s="1068">
        <v>2000</v>
      </c>
      <c r="F517" s="1044"/>
    </row>
    <row r="518" spans="1:6" ht="12.95" customHeight="1">
      <c r="A518" s="1206"/>
      <c r="B518" s="606" t="s">
        <v>830</v>
      </c>
      <c r="C518" s="1046"/>
      <c r="D518" s="1048">
        <v>520</v>
      </c>
      <c r="E518" s="1068"/>
      <c r="F518" s="1044">
        <v>12800</v>
      </c>
    </row>
    <row r="519" spans="1:6" ht="12.95" customHeight="1">
      <c r="A519" s="1206"/>
      <c r="B519" s="606"/>
      <c r="C519" s="1046"/>
      <c r="D519" s="1048"/>
      <c r="E519" s="1068"/>
      <c r="F519" s="1044"/>
    </row>
    <row r="520" spans="1:6" ht="12.95" customHeight="1">
      <c r="A520" s="1206"/>
      <c r="B520" s="606" t="s">
        <v>848</v>
      </c>
      <c r="C520" s="1047">
        <v>243</v>
      </c>
      <c r="D520" s="1048"/>
      <c r="E520" s="1068">
        <v>4000</v>
      </c>
      <c r="F520" s="1044"/>
    </row>
    <row r="521" spans="1:6" ht="12.95" customHeight="1">
      <c r="A521" s="1206"/>
      <c r="B521" s="606" t="s">
        <v>849</v>
      </c>
      <c r="C521" s="1046">
        <v>44512</v>
      </c>
      <c r="D521" s="1048"/>
      <c r="E521" s="1068">
        <v>200</v>
      </c>
      <c r="F521" s="1044"/>
    </row>
    <row r="522" spans="1:6" ht="12.95" customHeight="1">
      <c r="A522" s="1206"/>
      <c r="B522" s="606" t="s">
        <v>850</v>
      </c>
      <c r="C522" s="1046">
        <v>6055</v>
      </c>
      <c r="D522" s="1048"/>
      <c r="E522" s="1068">
        <v>2000</v>
      </c>
      <c r="F522" s="1044"/>
    </row>
    <row r="523" spans="1:6" ht="12.95" customHeight="1">
      <c r="A523" s="1206"/>
      <c r="B523" s="606" t="s">
        <v>851</v>
      </c>
      <c r="C523" s="1046">
        <v>6064</v>
      </c>
      <c r="D523" s="1048"/>
      <c r="E523" s="1068">
        <v>400</v>
      </c>
      <c r="F523" s="1044"/>
    </row>
    <row r="524" spans="1:6" ht="12.95" customHeight="1">
      <c r="A524" s="1206"/>
      <c r="B524" s="606" t="s">
        <v>852</v>
      </c>
      <c r="C524" s="1046">
        <v>44522</v>
      </c>
      <c r="D524" s="1048"/>
      <c r="E524" s="1068">
        <v>100</v>
      </c>
      <c r="F524" s="1044"/>
    </row>
    <row r="525" spans="1:6" ht="12.95" customHeight="1">
      <c r="A525" s="1206"/>
      <c r="B525" s="606" t="s">
        <v>830</v>
      </c>
      <c r="C525" s="1046"/>
      <c r="D525" s="1048">
        <v>520</v>
      </c>
      <c r="E525" s="1068"/>
      <c r="F525" s="1044">
        <v>6700</v>
      </c>
    </row>
    <row r="526" spans="1:6" ht="12.95" customHeight="1">
      <c r="A526" s="1206"/>
      <c r="B526" s="606"/>
      <c r="C526" s="1046"/>
      <c r="D526" s="1048"/>
      <c r="E526" s="1068"/>
      <c r="F526" s="1044"/>
    </row>
    <row r="527" spans="1:6" ht="12.95" customHeight="1">
      <c r="A527" s="1206"/>
      <c r="B527" s="606" t="s">
        <v>855</v>
      </c>
      <c r="C527" s="1046">
        <v>249</v>
      </c>
      <c r="D527" s="1048"/>
      <c r="E527" s="1068">
        <v>50000</v>
      </c>
      <c r="F527" s="1044"/>
    </row>
    <row r="528" spans="1:6" ht="12.95" customHeight="1">
      <c r="A528" s="1206"/>
      <c r="B528" s="606" t="s">
        <v>177</v>
      </c>
      <c r="C528" s="1046"/>
      <c r="D528" s="1048">
        <v>7500</v>
      </c>
      <c r="E528" s="1068"/>
      <c r="F528" s="1044">
        <v>50000</v>
      </c>
    </row>
    <row r="529" spans="1:6" ht="12.95" customHeight="1">
      <c r="A529" s="1206"/>
      <c r="B529" s="606" t="s">
        <v>856</v>
      </c>
      <c r="C529" s="1047">
        <v>231</v>
      </c>
      <c r="D529" s="1048"/>
      <c r="E529" s="1068">
        <v>80000</v>
      </c>
      <c r="F529" s="1044"/>
    </row>
    <row r="530" spans="1:6" ht="12.95" customHeight="1">
      <c r="A530" s="1206"/>
      <c r="B530" s="606" t="s">
        <v>853</v>
      </c>
      <c r="C530" s="1046">
        <v>44512</v>
      </c>
      <c r="D530" s="1048"/>
      <c r="E530" s="1068">
        <v>2000</v>
      </c>
      <c r="F530" s="1044"/>
    </row>
    <row r="531" spans="1:6" ht="12.95" customHeight="1">
      <c r="A531" s="1206"/>
      <c r="B531" s="606" t="s">
        <v>854</v>
      </c>
      <c r="C531" s="1046"/>
      <c r="D531" s="1048">
        <v>249</v>
      </c>
      <c r="E531" s="1068"/>
      <c r="F531" s="1044">
        <v>50000</v>
      </c>
    </row>
    <row r="532" spans="1:6" ht="12.95" customHeight="1">
      <c r="A532" s="1206"/>
      <c r="B532" s="606" t="s">
        <v>587</v>
      </c>
      <c r="C532" s="1046"/>
      <c r="D532" s="1048">
        <v>44312</v>
      </c>
      <c r="E532" s="1068"/>
      <c r="F532" s="1044">
        <v>2000</v>
      </c>
    </row>
    <row r="533" spans="1:6" ht="12.95" customHeight="1">
      <c r="A533" s="1206"/>
      <c r="B533" s="606" t="s">
        <v>177</v>
      </c>
      <c r="C533" s="1046"/>
      <c r="D533" s="1048">
        <v>7500</v>
      </c>
      <c r="E533" s="1068"/>
      <c r="F533" s="1044">
        <v>30000</v>
      </c>
    </row>
    <row r="534" spans="1:6" ht="12.95" customHeight="1">
      <c r="A534" s="1206"/>
      <c r="B534" s="606"/>
      <c r="C534" s="1046"/>
      <c r="D534" s="1048"/>
      <c r="E534" s="1068"/>
      <c r="F534" s="1044"/>
    </row>
    <row r="535" spans="1:6" ht="12.95" customHeight="1">
      <c r="A535" s="1206"/>
      <c r="B535" s="606" t="s">
        <v>857</v>
      </c>
      <c r="C535" s="1046">
        <v>279</v>
      </c>
      <c r="D535" s="1048"/>
      <c r="E535" s="1068">
        <v>10200</v>
      </c>
      <c r="F535" s="1044"/>
    </row>
    <row r="536" spans="1:6" ht="12.95" customHeight="1">
      <c r="A536" s="1206"/>
      <c r="B536" s="606" t="s">
        <v>587</v>
      </c>
      <c r="C536" s="1046"/>
      <c r="D536" s="1048">
        <v>44312</v>
      </c>
      <c r="E536" s="1068"/>
      <c r="F536" s="1044">
        <v>200</v>
      </c>
    </row>
    <row r="537" spans="1:6" ht="12.95" customHeight="1">
      <c r="A537" s="1206"/>
      <c r="B537" s="606" t="s">
        <v>858</v>
      </c>
      <c r="C537" s="1046"/>
      <c r="D537" s="1048">
        <v>8220</v>
      </c>
      <c r="E537" s="1068"/>
      <c r="F537" s="1044">
        <v>10000</v>
      </c>
    </row>
    <row r="538" spans="1:6" ht="12.95" customHeight="1">
      <c r="A538" s="1206"/>
      <c r="B538" s="606" t="s">
        <v>859</v>
      </c>
      <c r="C538" s="1047">
        <v>2841</v>
      </c>
      <c r="D538" s="1048"/>
      <c r="E538" s="1068">
        <v>9000</v>
      </c>
      <c r="F538" s="1044"/>
    </row>
    <row r="539" spans="1:6" ht="12.95" customHeight="1">
      <c r="A539" s="1206"/>
      <c r="B539" s="606" t="s">
        <v>860</v>
      </c>
      <c r="C539" s="1046">
        <v>812</v>
      </c>
      <c r="D539" s="1048"/>
      <c r="E539" s="1068">
        <v>500</v>
      </c>
      <c r="F539" s="1044"/>
    </row>
    <row r="540" spans="1:6" ht="12.95" customHeight="1">
      <c r="A540" s="1206"/>
      <c r="B540" s="606" t="s">
        <v>696</v>
      </c>
      <c r="C540" s="1046"/>
      <c r="D540" s="1050">
        <v>241</v>
      </c>
      <c r="E540" s="1068"/>
      <c r="F540" s="1044">
        <v>9500</v>
      </c>
    </row>
    <row r="541" spans="1:6" ht="12.95" customHeight="1">
      <c r="A541" s="1206"/>
      <c r="B541" s="606"/>
      <c r="C541" s="1046"/>
      <c r="D541" s="1050"/>
      <c r="E541" s="1068"/>
      <c r="F541" s="1044"/>
    </row>
    <row r="542" spans="1:6" ht="12.95" customHeight="1">
      <c r="A542" s="1206"/>
      <c r="B542" s="606" t="s">
        <v>982</v>
      </c>
      <c r="C542" s="1046">
        <v>279</v>
      </c>
      <c r="D542" s="1048"/>
      <c r="E542" s="1068">
        <v>20200</v>
      </c>
      <c r="F542" s="1044"/>
    </row>
    <row r="543" spans="1:6" ht="12.95" customHeight="1">
      <c r="A543" s="1206"/>
      <c r="B543" s="606" t="s">
        <v>587</v>
      </c>
      <c r="C543" s="1046"/>
      <c r="D543" s="1048">
        <v>44312</v>
      </c>
      <c r="E543" s="1068"/>
      <c r="F543" s="1044">
        <v>200</v>
      </c>
    </row>
    <row r="544" spans="1:6" ht="12.95" customHeight="1">
      <c r="A544" s="1206"/>
      <c r="B544" s="606" t="s">
        <v>858</v>
      </c>
      <c r="C544" s="1046"/>
      <c r="D544" s="1048">
        <v>8220</v>
      </c>
      <c r="E544" s="1068"/>
      <c r="F544" s="1044">
        <v>20000</v>
      </c>
    </row>
    <row r="545" spans="1:6" ht="12.95" customHeight="1">
      <c r="A545" s="1206"/>
      <c r="B545" s="606" t="s">
        <v>861</v>
      </c>
      <c r="C545" s="1046">
        <v>812</v>
      </c>
      <c r="D545" s="1048"/>
      <c r="E545" s="1068">
        <v>15000</v>
      </c>
      <c r="F545" s="1044"/>
    </row>
    <row r="546" spans="1:6" ht="12.95" customHeight="1">
      <c r="A546" s="1206"/>
      <c r="B546" s="606" t="s">
        <v>862</v>
      </c>
      <c r="C546" s="1046"/>
      <c r="D546" s="1048">
        <v>221</v>
      </c>
      <c r="E546" s="1068"/>
      <c r="F546" s="1044">
        <v>15000</v>
      </c>
    </row>
    <row r="547" spans="1:6" ht="12.95" customHeight="1">
      <c r="A547" s="1206"/>
      <c r="B547" s="606"/>
      <c r="C547" s="1046"/>
      <c r="D547" s="1048"/>
      <c r="E547" s="1068"/>
      <c r="F547" s="1044"/>
    </row>
    <row r="548" spans="1:6" ht="12.95" customHeight="1">
      <c r="A548" s="1206"/>
      <c r="B548" s="606" t="s">
        <v>983</v>
      </c>
      <c r="C548" s="1046">
        <v>221</v>
      </c>
      <c r="D548" s="1048"/>
      <c r="E548" s="1068">
        <v>50000</v>
      </c>
      <c r="F548" s="1044"/>
    </row>
    <row r="549" spans="1:6" ht="12.95" customHeight="1">
      <c r="A549" s="1206"/>
      <c r="B549" s="606" t="s">
        <v>846</v>
      </c>
      <c r="C549" s="1046">
        <v>6324</v>
      </c>
      <c r="D549" s="1048"/>
      <c r="E549" s="1068">
        <v>5000</v>
      </c>
      <c r="F549" s="1044"/>
    </row>
    <row r="550" spans="1:6" ht="12.95" customHeight="1">
      <c r="A550" s="1206"/>
      <c r="B550" s="606" t="s">
        <v>867</v>
      </c>
      <c r="C550" s="1046">
        <v>6350</v>
      </c>
      <c r="D550" s="1048"/>
      <c r="E550" s="1068">
        <v>300</v>
      </c>
      <c r="F550" s="1044"/>
    </row>
    <row r="551" spans="1:6" ht="12.95" customHeight="1">
      <c r="A551" s="1206"/>
      <c r="B551" s="606" t="s">
        <v>868</v>
      </c>
      <c r="C551" s="1046">
        <v>44522</v>
      </c>
      <c r="D551" s="1048"/>
      <c r="E551" s="1068">
        <v>1000</v>
      </c>
      <c r="F551" s="1044"/>
    </row>
    <row r="552" spans="1:6" ht="12.95" customHeight="1">
      <c r="A552" s="1206"/>
      <c r="B552" s="606" t="s">
        <v>830</v>
      </c>
      <c r="C552" s="1046"/>
      <c r="D552" s="1048">
        <v>520</v>
      </c>
      <c r="E552" s="1068"/>
      <c r="F552" s="1044">
        <v>56300</v>
      </c>
    </row>
    <row r="553" spans="1:6" ht="12.95" customHeight="1">
      <c r="A553" s="1206"/>
      <c r="B553" s="606" t="s">
        <v>869</v>
      </c>
      <c r="C553" s="1046">
        <v>6970</v>
      </c>
      <c r="D553" s="1048">
        <v>1982</v>
      </c>
      <c r="E553" s="1068">
        <v>10000</v>
      </c>
      <c r="F553" s="1044">
        <v>10000</v>
      </c>
    </row>
    <row r="554" spans="1:6" ht="12.95" customHeight="1">
      <c r="A554" s="1206"/>
      <c r="B554" s="606" t="s">
        <v>870</v>
      </c>
      <c r="C554" s="1046">
        <v>279</v>
      </c>
      <c r="D554" s="1048"/>
      <c r="E554" s="1068">
        <v>60000</v>
      </c>
      <c r="F554" s="1044"/>
    </row>
    <row r="555" spans="1:6" ht="12.95" customHeight="1">
      <c r="A555" s="1206"/>
      <c r="B555" s="606" t="s">
        <v>587</v>
      </c>
      <c r="C555" s="1046"/>
      <c r="D555" s="1048">
        <v>44312</v>
      </c>
      <c r="E555" s="1068"/>
      <c r="F555" s="1044">
        <v>2000</v>
      </c>
    </row>
    <row r="556" spans="1:6" ht="12.95" customHeight="1">
      <c r="A556" s="1206"/>
      <c r="B556" s="606" t="s">
        <v>871</v>
      </c>
      <c r="C556" s="1046"/>
      <c r="D556" s="1048">
        <v>8220</v>
      </c>
      <c r="E556" s="1068"/>
      <c r="F556" s="1044">
        <v>58000</v>
      </c>
    </row>
    <row r="557" spans="1:6" ht="12.95" customHeight="1">
      <c r="A557" s="1206"/>
      <c r="B557" s="606" t="s">
        <v>872</v>
      </c>
      <c r="C557" s="1046">
        <v>812</v>
      </c>
      <c r="D557" s="1048"/>
      <c r="E557" s="1068">
        <v>50000</v>
      </c>
      <c r="F557" s="1044"/>
    </row>
    <row r="558" spans="1:6" ht="12.95" customHeight="1">
      <c r="A558" s="1206"/>
      <c r="B558" s="606" t="s">
        <v>873</v>
      </c>
      <c r="C558" s="1046"/>
      <c r="D558" s="1048">
        <v>221</v>
      </c>
      <c r="E558" s="1068"/>
      <c r="F558" s="1044">
        <v>50000</v>
      </c>
    </row>
    <row r="559" spans="1:6" ht="12.95" customHeight="1">
      <c r="A559" s="1206"/>
      <c r="B559" s="606" t="s">
        <v>874</v>
      </c>
      <c r="C559" s="1046">
        <v>1982</v>
      </c>
      <c r="D559" s="1048"/>
      <c r="E559" s="1068">
        <v>10000</v>
      </c>
      <c r="F559" s="1044"/>
    </row>
    <row r="560" spans="1:6" ht="12.95" customHeight="1">
      <c r="A560" s="1206"/>
      <c r="B560" s="606" t="s">
        <v>874</v>
      </c>
      <c r="C560" s="1046"/>
      <c r="D560" s="1048">
        <v>849</v>
      </c>
      <c r="E560" s="1068"/>
      <c r="F560" s="1044">
        <v>10000</v>
      </c>
    </row>
    <row r="561" spans="1:6" ht="12.95" customHeight="1">
      <c r="A561" s="1206"/>
      <c r="B561" s="606"/>
      <c r="C561" s="1046"/>
      <c r="D561" s="1048"/>
      <c r="E561" s="1583"/>
      <c r="F561" s="1583"/>
    </row>
    <row r="562" spans="1:6" ht="12.95" customHeight="1">
      <c r="A562" s="1206"/>
      <c r="B562" s="606" t="s">
        <v>875</v>
      </c>
      <c r="C562" s="1046">
        <v>6970</v>
      </c>
      <c r="D562" s="1048">
        <v>1971</v>
      </c>
      <c r="E562" s="1068">
        <v>3000</v>
      </c>
      <c r="F562" s="1068">
        <v>3000</v>
      </c>
    </row>
    <row r="563" spans="1:6" ht="12.95" customHeight="1">
      <c r="A563" s="1206"/>
      <c r="B563" s="606" t="s">
        <v>1558</v>
      </c>
      <c r="C563" s="1046">
        <v>6243</v>
      </c>
      <c r="D563" s="1048"/>
      <c r="E563" s="1068">
        <v>10000</v>
      </c>
      <c r="F563" s="1044"/>
    </row>
    <row r="564" spans="1:6" ht="12.95" customHeight="1">
      <c r="A564" s="1206"/>
      <c r="B564" s="606" t="s">
        <v>809</v>
      </c>
      <c r="C564" s="1046">
        <v>44521</v>
      </c>
      <c r="D564" s="1048"/>
      <c r="E564" s="1068">
        <v>200</v>
      </c>
      <c r="F564" s="1044"/>
    </row>
    <row r="565" spans="1:6" ht="12.95" customHeight="1">
      <c r="A565" s="1206"/>
      <c r="B565" s="606" t="s">
        <v>825</v>
      </c>
      <c r="C565" s="1046"/>
      <c r="D565" s="1048">
        <v>4011</v>
      </c>
      <c r="E565" s="1068"/>
      <c r="F565" s="1044">
        <v>10200</v>
      </c>
    </row>
    <row r="566" spans="1:6" ht="12.95" customHeight="1">
      <c r="A566" s="1206"/>
      <c r="B566" s="606" t="s">
        <v>876</v>
      </c>
      <c r="C566" s="1046">
        <v>4011</v>
      </c>
      <c r="D566" s="1048">
        <v>520</v>
      </c>
      <c r="E566" s="1068">
        <v>10200</v>
      </c>
      <c r="F566" s="1068">
        <v>10200</v>
      </c>
    </row>
    <row r="567" spans="1:6" ht="12.95" customHeight="1">
      <c r="A567" s="1206"/>
      <c r="B567" s="606" t="s">
        <v>877</v>
      </c>
      <c r="C567" s="1046">
        <v>1971</v>
      </c>
      <c r="D567" s="1048">
        <v>7791</v>
      </c>
      <c r="E567" s="1068">
        <v>3000</v>
      </c>
      <c r="F567" s="1044">
        <v>3000</v>
      </c>
    </row>
    <row r="568" spans="1:6" ht="12.95" customHeight="1">
      <c r="A568" s="1206"/>
      <c r="B568" s="606"/>
      <c r="C568" s="1046"/>
      <c r="D568" s="1048"/>
      <c r="E568" s="1068"/>
      <c r="F568" s="1044"/>
    </row>
    <row r="569" spans="1:6" ht="12.95" customHeight="1">
      <c r="A569" s="1206"/>
      <c r="B569" s="606" t="s">
        <v>878</v>
      </c>
      <c r="C569" s="1046">
        <v>6812</v>
      </c>
      <c r="D569" s="1048">
        <v>2812</v>
      </c>
      <c r="E569" s="1044">
        <v>1000</v>
      </c>
      <c r="F569" s="1044">
        <v>1000</v>
      </c>
    </row>
    <row r="570" spans="1:6" ht="12.95" customHeight="1">
      <c r="A570" s="1206"/>
      <c r="B570" s="606" t="s">
        <v>879</v>
      </c>
      <c r="C570" s="1046">
        <v>6812</v>
      </c>
      <c r="D570" s="1048">
        <v>2813</v>
      </c>
      <c r="E570" s="1044">
        <v>1000</v>
      </c>
      <c r="F570" s="1044">
        <v>1000</v>
      </c>
    </row>
    <row r="571" spans="1:6" ht="12.95" customHeight="1">
      <c r="A571" s="1206"/>
      <c r="B571" s="606" t="s">
        <v>1559</v>
      </c>
      <c r="C571" s="1046">
        <v>6812</v>
      </c>
      <c r="D571" s="1048">
        <v>2818</v>
      </c>
      <c r="E571" s="1044">
        <v>1000</v>
      </c>
      <c r="F571" s="1044">
        <v>1000</v>
      </c>
    </row>
    <row r="572" spans="1:6" ht="12.95" customHeight="1">
      <c r="A572" s="1206"/>
      <c r="B572" s="606" t="s">
        <v>1560</v>
      </c>
      <c r="C572" s="1046">
        <v>6813</v>
      </c>
      <c r="D572" s="1048">
        <v>2831</v>
      </c>
      <c r="E572" s="1044">
        <v>1000</v>
      </c>
      <c r="F572" s="1044">
        <v>1000</v>
      </c>
    </row>
    <row r="573" spans="1:6" ht="12.95" customHeight="1">
      <c r="A573" s="1206"/>
      <c r="B573" s="606" t="s">
        <v>880</v>
      </c>
      <c r="C573" s="1046">
        <v>6813</v>
      </c>
      <c r="D573" s="1048">
        <v>2832</v>
      </c>
      <c r="E573" s="1044">
        <v>1000</v>
      </c>
      <c r="F573" s="1044">
        <v>1000</v>
      </c>
    </row>
    <row r="574" spans="1:6" ht="12.95" customHeight="1">
      <c r="A574" s="1206"/>
      <c r="B574" s="606" t="s">
        <v>1561</v>
      </c>
      <c r="C574" s="1046">
        <v>6813</v>
      </c>
      <c r="D574" s="1048">
        <v>2833</v>
      </c>
      <c r="E574" s="1044">
        <v>1000</v>
      </c>
      <c r="F574" s="1044">
        <v>1000</v>
      </c>
    </row>
    <row r="575" spans="1:6" ht="12.95" customHeight="1">
      <c r="A575" s="1206"/>
      <c r="B575" s="606" t="s">
        <v>1562</v>
      </c>
      <c r="C575" s="1046">
        <v>6813</v>
      </c>
      <c r="D575" s="1048">
        <v>2834</v>
      </c>
      <c r="E575" s="1044">
        <v>1000</v>
      </c>
      <c r="F575" s="1044">
        <v>1000</v>
      </c>
    </row>
    <row r="576" spans="1:6" ht="12.95" customHeight="1">
      <c r="A576" s="1206"/>
      <c r="B576" s="606" t="s">
        <v>881</v>
      </c>
      <c r="C576" s="1046">
        <v>6813</v>
      </c>
      <c r="D576" s="1048">
        <v>2835</v>
      </c>
      <c r="E576" s="1044">
        <v>1000</v>
      </c>
      <c r="F576" s="1044">
        <v>1000</v>
      </c>
    </row>
    <row r="577" spans="1:6" ht="12.95" customHeight="1">
      <c r="A577" s="1206"/>
      <c r="B577" s="606" t="s">
        <v>1563</v>
      </c>
      <c r="C577" s="1046">
        <v>6813</v>
      </c>
      <c r="D577" s="1048">
        <v>2842</v>
      </c>
      <c r="E577" s="1044">
        <v>1000</v>
      </c>
      <c r="F577" s="1044">
        <v>1000</v>
      </c>
    </row>
    <row r="578" spans="1:6" ht="12.95" customHeight="1">
      <c r="A578" s="1206"/>
      <c r="B578" s="606" t="s">
        <v>882</v>
      </c>
      <c r="C578" s="1046">
        <v>6813</v>
      </c>
      <c r="D578" s="1048">
        <v>2844</v>
      </c>
      <c r="E578" s="1044">
        <v>1000</v>
      </c>
      <c r="F578" s="1044">
        <v>1000</v>
      </c>
    </row>
    <row r="579" spans="1:6" ht="12.95" customHeight="1">
      <c r="A579" s="1206"/>
      <c r="B579" s="606" t="s">
        <v>883</v>
      </c>
      <c r="C579" s="1046">
        <v>6813</v>
      </c>
      <c r="D579" s="1048">
        <v>2845</v>
      </c>
      <c r="E579" s="1044">
        <v>1000</v>
      </c>
      <c r="F579" s="1044">
        <v>1000</v>
      </c>
    </row>
    <row r="580" spans="1:6" ht="12.95" customHeight="1">
      <c r="A580" s="1206"/>
      <c r="B580" s="606" t="s">
        <v>1564</v>
      </c>
      <c r="C580" s="1046">
        <v>6813</v>
      </c>
      <c r="D580" s="1048">
        <v>2846</v>
      </c>
      <c r="E580" s="1044">
        <v>1000</v>
      </c>
      <c r="F580" s="1044">
        <v>1000</v>
      </c>
    </row>
    <row r="581" spans="1:6" ht="12.95" customHeight="1">
      <c r="A581" s="1206"/>
      <c r="B581" s="606" t="s">
        <v>884</v>
      </c>
      <c r="C581" s="1046">
        <v>6813</v>
      </c>
      <c r="D581" s="1048">
        <v>2849</v>
      </c>
      <c r="E581" s="1044">
        <v>1000</v>
      </c>
      <c r="F581" s="1044">
        <v>1000</v>
      </c>
    </row>
    <row r="582" spans="1:6" ht="12.95" customHeight="1">
      <c r="A582" s="1206"/>
      <c r="B582" s="606"/>
      <c r="C582" s="1046"/>
      <c r="D582" s="1048"/>
      <c r="E582" s="1583"/>
      <c r="F582" s="1583"/>
    </row>
    <row r="583" spans="1:6" ht="12.95" customHeight="1">
      <c r="A583" s="1206"/>
      <c r="B583" s="606" t="s">
        <v>1483</v>
      </c>
      <c r="C583" s="1046">
        <v>6031</v>
      </c>
      <c r="D583" s="1048"/>
      <c r="E583" s="1068">
        <v>20000</v>
      </c>
      <c r="F583" s="1044"/>
    </row>
    <row r="584" spans="1:6" ht="12.95" customHeight="1">
      <c r="A584" s="1206"/>
      <c r="B584" s="606" t="s">
        <v>896</v>
      </c>
      <c r="C584" s="1046"/>
      <c r="D584" s="1048">
        <v>310</v>
      </c>
      <c r="E584" s="1068"/>
      <c r="F584" s="1044">
        <v>20000</v>
      </c>
    </row>
    <row r="585" spans="1:6" ht="12.95" customHeight="1">
      <c r="A585" s="1206"/>
      <c r="B585" s="606" t="s">
        <v>897</v>
      </c>
      <c r="C585" s="1046">
        <v>6032</v>
      </c>
      <c r="D585" s="1048"/>
      <c r="E585" s="1068">
        <v>10000</v>
      </c>
      <c r="F585" s="1044"/>
    </row>
    <row r="586" spans="1:6" ht="12.95" customHeight="1">
      <c r="A586" s="1206"/>
      <c r="B586" s="606" t="s">
        <v>898</v>
      </c>
      <c r="C586" s="1046"/>
      <c r="D586" s="1048">
        <v>320</v>
      </c>
      <c r="E586" s="1068"/>
      <c r="F586" s="1044">
        <v>10000</v>
      </c>
    </row>
    <row r="587" spans="1:6" ht="12.95" customHeight="1">
      <c r="A587" s="1206"/>
      <c r="B587" s="606"/>
      <c r="C587" s="1046"/>
      <c r="D587" s="1048"/>
      <c r="E587" s="1068"/>
      <c r="F587" s="1044"/>
    </row>
    <row r="588" spans="1:6" ht="12.95" customHeight="1">
      <c r="A588" s="1206"/>
      <c r="B588" s="606" t="s">
        <v>899</v>
      </c>
      <c r="C588" s="1046">
        <v>6033</v>
      </c>
      <c r="D588" s="1048"/>
      <c r="E588" s="1068">
        <v>20000</v>
      </c>
      <c r="F588" s="1044"/>
    </row>
    <row r="589" spans="1:6" ht="12.95" customHeight="1">
      <c r="A589" s="1206"/>
      <c r="B589" s="606" t="s">
        <v>1565</v>
      </c>
      <c r="C589" s="1046"/>
      <c r="D589" s="1048">
        <v>330</v>
      </c>
      <c r="E589" s="1068"/>
      <c r="F589" s="1044">
        <v>20000</v>
      </c>
    </row>
    <row r="590" spans="1:6" ht="12.95" customHeight="1">
      <c r="A590" s="1206"/>
      <c r="B590" s="606" t="s">
        <v>1565</v>
      </c>
      <c r="C590" s="1046">
        <v>330</v>
      </c>
      <c r="D590" s="1048"/>
      <c r="E590" s="1068">
        <v>10000</v>
      </c>
      <c r="F590" s="1044"/>
    </row>
    <row r="591" spans="1:6" ht="12.95" customHeight="1">
      <c r="A591" s="1206"/>
      <c r="B591" s="606" t="s">
        <v>900</v>
      </c>
      <c r="C591" s="1046"/>
      <c r="D591" s="1048">
        <v>6031</v>
      </c>
      <c r="E591" s="1068"/>
      <c r="F591" s="1044">
        <v>10000</v>
      </c>
    </row>
    <row r="592" spans="1:6" ht="12.95" customHeight="1">
      <c r="A592" s="1206"/>
      <c r="B592" s="606"/>
      <c r="C592" s="1046"/>
      <c r="D592" s="1048"/>
      <c r="E592" s="1068"/>
      <c r="F592" s="1044"/>
    </row>
    <row r="593" spans="1:6" ht="12.95" customHeight="1">
      <c r="A593" s="1206"/>
      <c r="B593" s="606" t="s">
        <v>898</v>
      </c>
      <c r="C593" s="1046">
        <v>320</v>
      </c>
      <c r="D593" s="1048"/>
      <c r="E593" s="1068">
        <v>20000</v>
      </c>
      <c r="F593" s="1044"/>
    </row>
    <row r="594" spans="1:6" ht="12.95" customHeight="1">
      <c r="A594" s="1206"/>
      <c r="B594" s="606" t="s">
        <v>897</v>
      </c>
      <c r="C594" s="1046"/>
      <c r="D594" s="1048">
        <v>6032</v>
      </c>
      <c r="E594" s="1068"/>
      <c r="F594" s="1044">
        <v>20000</v>
      </c>
    </row>
    <row r="595" spans="1:6" ht="12.95" customHeight="1">
      <c r="A595" s="1206"/>
      <c r="B595" s="606" t="s">
        <v>1565</v>
      </c>
      <c r="C595" s="1046">
        <v>330</v>
      </c>
      <c r="D595" s="1048"/>
      <c r="E595" s="1068">
        <v>10000</v>
      </c>
      <c r="F595" s="1044"/>
    </row>
    <row r="596" spans="1:6" ht="12.95" customHeight="1">
      <c r="A596" s="1206"/>
      <c r="B596" s="606" t="s">
        <v>901</v>
      </c>
      <c r="C596" s="1046"/>
      <c r="D596" s="1048">
        <v>6033</v>
      </c>
      <c r="E596" s="1068"/>
      <c r="F596" s="1044">
        <v>10000</v>
      </c>
    </row>
    <row r="597" spans="1:6" ht="12.95" customHeight="1">
      <c r="A597" s="1206"/>
      <c r="B597" s="606"/>
      <c r="C597" s="1046"/>
      <c r="D597" s="1048"/>
      <c r="E597" s="1068"/>
      <c r="F597" s="1044"/>
    </row>
    <row r="598" spans="1:6" ht="12.95" customHeight="1">
      <c r="A598" s="1206"/>
      <c r="B598" s="606" t="s">
        <v>904</v>
      </c>
      <c r="C598" s="1046">
        <v>6032</v>
      </c>
      <c r="D598" s="1048"/>
      <c r="E598" s="1068">
        <v>20000</v>
      </c>
      <c r="F598" s="1044"/>
    </row>
    <row r="599" spans="1:6" ht="12.95" customHeight="1">
      <c r="A599" s="1206"/>
      <c r="B599" s="606" t="s">
        <v>903</v>
      </c>
      <c r="C599" s="1046"/>
      <c r="D599" s="1048">
        <v>320</v>
      </c>
      <c r="E599" s="1068"/>
      <c r="F599" s="1044">
        <v>20000</v>
      </c>
    </row>
    <row r="600" spans="1:6" ht="12.95" customHeight="1">
      <c r="A600" s="1206"/>
      <c r="B600" s="606" t="s">
        <v>903</v>
      </c>
      <c r="C600" s="1046">
        <v>320</v>
      </c>
      <c r="D600" s="1048"/>
      <c r="E600" s="1068">
        <v>10000</v>
      </c>
      <c r="F600" s="1044"/>
    </row>
    <row r="601" spans="1:6" ht="12.95" customHeight="1">
      <c r="A601" s="1206"/>
      <c r="B601" s="606" t="s">
        <v>904</v>
      </c>
      <c r="C601" s="1046"/>
      <c r="D601" s="1048">
        <v>6032</v>
      </c>
      <c r="E601" s="1068"/>
      <c r="F601" s="1044">
        <v>10000</v>
      </c>
    </row>
    <row r="602" spans="1:6" ht="12.95" customHeight="1">
      <c r="A602" s="1206"/>
      <c r="B602" s="606"/>
      <c r="C602" s="1046"/>
      <c r="D602" s="1048"/>
      <c r="E602" s="1068"/>
      <c r="F602" s="1044"/>
    </row>
    <row r="603" spans="1:6" ht="12.95" customHeight="1">
      <c r="A603" s="1206"/>
      <c r="B603" s="606" t="s">
        <v>907</v>
      </c>
      <c r="C603" s="1046">
        <v>6034</v>
      </c>
      <c r="D603" s="1048"/>
      <c r="E603" s="1068">
        <v>20000</v>
      </c>
      <c r="F603" s="1044"/>
    </row>
    <row r="604" spans="1:6" ht="12.95" customHeight="1">
      <c r="A604" s="1206"/>
      <c r="B604" s="606" t="s">
        <v>908</v>
      </c>
      <c r="C604" s="1046"/>
      <c r="D604" s="1048">
        <v>370</v>
      </c>
      <c r="E604" s="1068"/>
      <c r="F604" s="1044">
        <v>20000</v>
      </c>
    </row>
    <row r="605" spans="1:6" ht="12.95" customHeight="1">
      <c r="A605" s="1206"/>
      <c r="B605" s="606" t="s">
        <v>908</v>
      </c>
      <c r="C605" s="1046">
        <v>370</v>
      </c>
      <c r="D605" s="1048"/>
      <c r="E605" s="1068">
        <v>10000</v>
      </c>
      <c r="F605" s="1044"/>
    </row>
    <row r="606" spans="1:6" ht="12.95" customHeight="1">
      <c r="A606" s="1206"/>
      <c r="B606" s="606" t="s">
        <v>907</v>
      </c>
      <c r="C606" s="1046"/>
      <c r="D606" s="1048">
        <v>6034</v>
      </c>
      <c r="E606" s="1068"/>
      <c r="F606" s="1044">
        <v>10000</v>
      </c>
    </row>
    <row r="607" spans="1:6" ht="12.95" customHeight="1">
      <c r="A607" s="1206"/>
      <c r="B607" s="606"/>
      <c r="C607" s="1046"/>
      <c r="D607" s="1048"/>
      <c r="E607" s="1068"/>
      <c r="F607" s="1044"/>
    </row>
    <row r="608" spans="1:6" ht="12.95" customHeight="1">
      <c r="A608" s="1206"/>
      <c r="B608" s="606" t="s">
        <v>1566</v>
      </c>
      <c r="C608" s="1046">
        <v>6035</v>
      </c>
      <c r="D608" s="1048"/>
      <c r="E608" s="1068">
        <v>20000</v>
      </c>
      <c r="F608" s="1044"/>
    </row>
    <row r="609" spans="1:6" ht="12.95" customHeight="1">
      <c r="A609" s="1206"/>
      <c r="B609" s="606" t="s">
        <v>916</v>
      </c>
      <c r="C609" s="1046"/>
      <c r="D609" s="1048">
        <v>340</v>
      </c>
      <c r="E609" s="1068"/>
      <c r="F609" s="1044">
        <v>20000</v>
      </c>
    </row>
    <row r="610" spans="1:6" ht="12.95" customHeight="1">
      <c r="A610" s="1206"/>
      <c r="B610" s="606" t="s">
        <v>916</v>
      </c>
      <c r="C610" s="1046">
        <v>340</v>
      </c>
      <c r="D610" s="1048"/>
      <c r="E610" s="1068">
        <v>10000</v>
      </c>
      <c r="F610" s="1044"/>
    </row>
    <row r="611" spans="1:6" ht="12.95" customHeight="1">
      <c r="A611" s="1206"/>
      <c r="B611" s="606" t="s">
        <v>1566</v>
      </c>
      <c r="C611" s="1046"/>
      <c r="D611" s="1048">
        <v>6035</v>
      </c>
      <c r="E611" s="1068"/>
      <c r="F611" s="1044">
        <v>10000</v>
      </c>
    </row>
    <row r="612" spans="1:6" ht="12.95" customHeight="1">
      <c r="A612" s="1206"/>
      <c r="B612" s="606"/>
      <c r="C612" s="1046"/>
      <c r="D612" s="1048"/>
      <c r="E612" s="1068"/>
      <c r="F612" s="1044"/>
    </row>
    <row r="613" spans="1:6" ht="12.95" customHeight="1">
      <c r="A613" s="1206"/>
      <c r="B613" s="606" t="s">
        <v>1567</v>
      </c>
      <c r="C613" s="1046">
        <v>361</v>
      </c>
      <c r="D613" s="1048"/>
      <c r="E613" s="1068">
        <v>500</v>
      </c>
      <c r="F613" s="1044"/>
    </row>
    <row r="614" spans="1:6" ht="12.95" customHeight="1">
      <c r="A614" s="1206"/>
      <c r="B614" s="606" t="s">
        <v>1481</v>
      </c>
      <c r="C614" s="1046"/>
      <c r="D614" s="1048">
        <v>7360</v>
      </c>
      <c r="E614" s="1068"/>
      <c r="F614" s="1044">
        <v>500</v>
      </c>
    </row>
    <row r="615" spans="1:6" ht="12.95" customHeight="1">
      <c r="A615" s="1206"/>
      <c r="B615" s="606" t="s">
        <v>1477</v>
      </c>
      <c r="C615" s="1046">
        <v>7360</v>
      </c>
      <c r="D615" s="1048"/>
      <c r="E615" s="1068">
        <v>500</v>
      </c>
      <c r="F615" s="1044"/>
    </row>
    <row r="616" spans="1:6" ht="12.95" customHeight="1">
      <c r="A616" s="1206"/>
      <c r="B616" s="606" t="s">
        <v>1476</v>
      </c>
      <c r="C616" s="1046"/>
      <c r="D616" s="1048">
        <v>361</v>
      </c>
      <c r="E616" s="1068"/>
      <c r="F616" s="1044">
        <v>500</v>
      </c>
    </row>
    <row r="617" spans="1:6" ht="12.95" customHeight="1">
      <c r="A617" s="1206"/>
      <c r="B617" s="606" t="s">
        <v>1478</v>
      </c>
      <c r="C617" s="1046">
        <v>361</v>
      </c>
      <c r="D617" s="1048"/>
      <c r="E617" s="1068">
        <v>1000</v>
      </c>
      <c r="F617" s="1044"/>
    </row>
    <row r="618" spans="1:6" ht="12.95" customHeight="1">
      <c r="A618" s="1206"/>
      <c r="B618" s="606" t="s">
        <v>1481</v>
      </c>
      <c r="C618" s="1046"/>
      <c r="D618" s="1048">
        <v>7360</v>
      </c>
      <c r="E618" s="1068"/>
      <c r="F618" s="1044">
        <v>1000</v>
      </c>
    </row>
    <row r="619" spans="1:6" ht="12.95" customHeight="1">
      <c r="A619" s="1206"/>
      <c r="B619" s="606"/>
      <c r="C619" s="1046"/>
      <c r="D619" s="1048"/>
      <c r="E619" s="1068"/>
      <c r="F619" s="1044"/>
    </row>
    <row r="620" spans="1:6" ht="12.95" customHeight="1">
      <c r="A620" s="1206"/>
      <c r="B620" s="606" t="s">
        <v>1568</v>
      </c>
      <c r="C620" s="1047">
        <v>476</v>
      </c>
      <c r="D620" s="1050"/>
      <c r="E620" s="1068">
        <v>5000</v>
      </c>
      <c r="F620" s="1044"/>
    </row>
    <row r="621" spans="1:6" ht="12.95" customHeight="1">
      <c r="A621" s="1206"/>
      <c r="B621" s="606" t="s">
        <v>1006</v>
      </c>
      <c r="C621" s="1058"/>
      <c r="D621" s="1048">
        <v>622</v>
      </c>
      <c r="E621" s="1068"/>
      <c r="F621" s="1044">
        <v>5000</v>
      </c>
    </row>
    <row r="622" spans="1:6" ht="12.95" customHeight="1">
      <c r="A622" s="1206"/>
      <c r="B622" s="1049"/>
      <c r="C622" s="1059"/>
      <c r="D622" s="1063"/>
      <c r="E622" s="1068"/>
      <c r="F622" s="1044"/>
    </row>
    <row r="623" spans="1:6" ht="12.95" customHeight="1">
      <c r="A623" s="1206"/>
      <c r="B623" s="606" t="s">
        <v>1007</v>
      </c>
      <c r="C623" s="1047">
        <v>476</v>
      </c>
      <c r="D623" s="1050"/>
      <c r="E623" s="1068">
        <v>10000</v>
      </c>
      <c r="F623" s="1044"/>
    </row>
    <row r="624" spans="1:6" ht="12.95" customHeight="1">
      <c r="A624" s="1206"/>
      <c r="B624" s="606" t="s">
        <v>1008</v>
      </c>
      <c r="C624" s="1058"/>
      <c r="D624" s="1050">
        <v>771</v>
      </c>
      <c r="E624" s="1068"/>
      <c r="F624" s="1044">
        <v>10000</v>
      </c>
    </row>
    <row r="625" spans="1:6" ht="12.95" customHeight="1">
      <c r="A625" s="1206"/>
      <c r="B625" s="1049"/>
      <c r="C625" s="1059"/>
      <c r="D625" s="1063"/>
      <c r="E625" s="1068"/>
      <c r="F625" s="1044"/>
    </row>
    <row r="626" spans="1:6" ht="12.95" customHeight="1">
      <c r="A626" s="1206"/>
      <c r="B626" s="606" t="s">
        <v>1009</v>
      </c>
      <c r="C626" s="1047">
        <v>476</v>
      </c>
      <c r="D626" s="1050"/>
      <c r="E626" s="1068">
        <v>1000</v>
      </c>
      <c r="F626" s="1044"/>
    </row>
    <row r="627" spans="1:6" ht="12.95" customHeight="1">
      <c r="A627" s="1206"/>
      <c r="B627" s="606" t="s">
        <v>1010</v>
      </c>
      <c r="C627" s="1058"/>
      <c r="D627" s="1050">
        <v>840</v>
      </c>
      <c r="E627" s="1068"/>
      <c r="F627" s="1044">
        <v>1000</v>
      </c>
    </row>
    <row r="628" spans="1:6" ht="12.95" customHeight="1">
      <c r="A628" s="1206"/>
      <c r="B628" s="1049"/>
      <c r="C628" s="1059"/>
      <c r="D628" s="1063"/>
      <c r="E628" s="1068"/>
      <c r="F628" s="1044"/>
    </row>
    <row r="629" spans="1:6" ht="12.95" customHeight="1">
      <c r="A629" s="1206"/>
      <c r="B629" s="606" t="s">
        <v>1011</v>
      </c>
      <c r="C629" s="1047">
        <v>476</v>
      </c>
      <c r="D629" s="1050"/>
      <c r="E629" s="1068">
        <v>500</v>
      </c>
      <c r="F629" s="1044"/>
    </row>
    <row r="630" spans="1:6" ht="12.95" customHeight="1">
      <c r="A630" s="1206"/>
      <c r="B630" s="606" t="s">
        <v>1012</v>
      </c>
      <c r="C630" s="1058"/>
      <c r="D630" s="1050">
        <v>771</v>
      </c>
      <c r="E630" s="1068"/>
      <c r="F630" s="1044">
        <v>500</v>
      </c>
    </row>
    <row r="631" spans="1:6" ht="12.95" customHeight="1">
      <c r="A631" s="1206"/>
      <c r="B631" s="1049"/>
      <c r="C631" s="1059"/>
      <c r="D631" s="1063"/>
      <c r="E631" s="1068"/>
      <c r="F631" s="1044"/>
    </row>
    <row r="632" spans="1:6" ht="12.95" customHeight="1">
      <c r="A632" s="1206"/>
      <c r="B632" s="606" t="s">
        <v>1006</v>
      </c>
      <c r="C632" s="1046">
        <v>622</v>
      </c>
      <c r="D632" s="1048"/>
      <c r="E632" s="1068">
        <v>10000</v>
      </c>
      <c r="F632" s="1044"/>
    </row>
    <row r="633" spans="1:6" ht="12.95" customHeight="1">
      <c r="A633" s="1206"/>
      <c r="B633" s="606" t="s">
        <v>1569</v>
      </c>
      <c r="C633" s="1058"/>
      <c r="D633" s="1050">
        <v>477</v>
      </c>
      <c r="E633" s="1068"/>
      <c r="F633" s="1044">
        <v>10000</v>
      </c>
    </row>
    <row r="634" spans="1:6" ht="12.95" customHeight="1">
      <c r="A634" s="1206"/>
      <c r="B634" s="1049"/>
      <c r="C634" s="1059"/>
      <c r="D634" s="1063"/>
      <c r="E634" s="1068"/>
      <c r="F634" s="1044"/>
    </row>
    <row r="635" spans="1:6" ht="12.95" customHeight="1">
      <c r="A635" s="1206"/>
      <c r="B635" s="606" t="s">
        <v>1013</v>
      </c>
      <c r="C635" s="1047">
        <v>771</v>
      </c>
      <c r="D635" s="1050"/>
      <c r="E635" s="1068">
        <v>100</v>
      </c>
      <c r="F635" s="1044"/>
    </row>
    <row r="636" spans="1:6" ht="12.95" customHeight="1">
      <c r="A636" s="1206"/>
      <c r="B636" s="606" t="s">
        <v>1014</v>
      </c>
      <c r="C636" s="1058"/>
      <c r="D636" s="1050">
        <v>477</v>
      </c>
      <c r="E636" s="1068"/>
      <c r="F636" s="1044">
        <v>100</v>
      </c>
    </row>
    <row r="637" spans="1:6" ht="12.95" customHeight="1">
      <c r="A637" s="1206"/>
      <c r="B637" s="1049"/>
      <c r="C637" s="1059"/>
      <c r="D637" s="1063"/>
      <c r="E637" s="1068"/>
      <c r="F637" s="1044"/>
    </row>
    <row r="638" spans="1:6" ht="12.95" customHeight="1">
      <c r="A638" s="1206"/>
      <c r="B638" s="606" t="s">
        <v>1015</v>
      </c>
      <c r="C638" s="1047">
        <v>830</v>
      </c>
      <c r="D638" s="1050"/>
      <c r="E638" s="1068">
        <v>2000</v>
      </c>
      <c r="F638" s="1044"/>
    </row>
    <row r="639" spans="1:6" ht="12.95" customHeight="1">
      <c r="A639" s="1206"/>
      <c r="B639" s="606" t="s">
        <v>1016</v>
      </c>
      <c r="C639" s="1058"/>
      <c r="D639" s="1050">
        <v>477</v>
      </c>
      <c r="E639" s="1068"/>
      <c r="F639" s="1044">
        <v>2000</v>
      </c>
    </row>
    <row r="640" spans="1:6" ht="12.95" customHeight="1">
      <c r="A640" s="1206"/>
      <c r="B640" s="1080"/>
      <c r="C640" s="1081"/>
      <c r="D640" s="1082"/>
      <c r="E640" s="1068"/>
      <c r="F640" s="1044"/>
    </row>
    <row r="642" spans="1:6" ht="12.95" customHeight="1">
      <c r="A642" s="1585" t="s">
        <v>1668</v>
      </c>
      <c r="B642" s="1585"/>
      <c r="C642" s="1586" t="s">
        <v>1212</v>
      </c>
      <c r="D642" s="1587">
        <f>E642-F642</f>
        <v>0</v>
      </c>
      <c r="E642" s="1588">
        <f>SUM(E116:E640)</f>
        <v>5129422</v>
      </c>
      <c r="F642" s="1588">
        <f>SUM(F116:F640)</f>
        <v>5129422</v>
      </c>
    </row>
  </sheetData>
  <mergeCells count="2">
    <mergeCell ref="A4:H4"/>
    <mergeCell ref="A1:H1"/>
  </mergeCells>
  <dataValidations count="2">
    <dataValidation type="list" allowBlank="1" showErrorMessage="1" error="Le compte n'appartient pas à la sélection, SVP." sqref="C640:D640 C116:D619">
      <formula1>Compte</formula1>
    </dataValidation>
    <dataValidation type="list" allowBlank="1" showInputMessage="1" showErrorMessage="1" sqref="A116:A640">
      <formula1>Date</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sheetPr codeName="Feuil15"/>
  <dimension ref="A1:L119"/>
  <sheetViews>
    <sheetView workbookViewId="0">
      <selection activeCell="T5" sqref="T5"/>
    </sheetView>
  </sheetViews>
  <sheetFormatPr baseColWidth="10" defaultColWidth="12.5703125" defaultRowHeight="11.25"/>
  <cols>
    <col min="1" max="1" width="4.140625" style="1608" customWidth="1"/>
    <col min="2" max="2" width="17.42578125" style="1589" customWidth="1"/>
    <col min="3" max="3" width="9.42578125" style="1608" customWidth="1"/>
    <col min="4" max="4" width="9.140625" style="1608" customWidth="1"/>
    <col min="5" max="5" width="9" style="1608" customWidth="1"/>
    <col min="6" max="6" width="10.42578125" style="1608" customWidth="1"/>
    <col min="7" max="7" width="9.28515625" style="1608" customWidth="1"/>
    <col min="8" max="8" width="23.85546875" style="1608" customWidth="1"/>
    <col min="9" max="9" width="10.28515625" style="1589" customWidth="1"/>
    <col min="10" max="10" width="9" style="1589" customWidth="1"/>
    <col min="11" max="12" width="12.5703125" style="1589" customWidth="1"/>
    <col min="13" max="16384" width="12.5703125" style="1589"/>
  </cols>
  <sheetData>
    <row r="1" spans="1:12" ht="21">
      <c r="A1" s="1698" t="s">
        <v>1682</v>
      </c>
      <c r="B1" s="1699"/>
      <c r="C1" s="1698"/>
      <c r="D1" s="1698"/>
      <c r="E1" s="1699"/>
      <c r="F1" s="1698"/>
      <c r="G1" s="1700"/>
      <c r="H1" s="1700"/>
      <c r="I1" s="1700"/>
      <c r="J1" s="1700"/>
      <c r="K1" s="1700"/>
      <c r="L1" s="1700"/>
    </row>
    <row r="2" spans="1:12">
      <c r="A2" s="1590"/>
      <c r="B2" s="1591" t="s">
        <v>1669</v>
      </c>
      <c r="C2" s="1592" t="s">
        <v>26</v>
      </c>
      <c r="D2" s="1592" t="s">
        <v>1670</v>
      </c>
      <c r="E2" s="1593" t="s">
        <v>1671</v>
      </c>
      <c r="F2" s="1594" t="s">
        <v>1672</v>
      </c>
      <c r="G2" s="1595"/>
      <c r="H2" s="1596" t="s">
        <v>1673</v>
      </c>
      <c r="I2" s="1595" t="s">
        <v>26</v>
      </c>
      <c r="J2" s="1597" t="s">
        <v>1674</v>
      </c>
      <c r="K2" s="1593" t="s">
        <v>1675</v>
      </c>
      <c r="L2" s="1594" t="s">
        <v>1672</v>
      </c>
    </row>
    <row r="3" spans="1:12">
      <c r="A3" s="1599"/>
      <c r="B3" s="1597" t="str">
        <f>Bilanouverture!B7</f>
        <v>Immobilisations incorporelles</v>
      </c>
      <c r="C3" s="1599">
        <f>SUM(C4:C17)</f>
        <v>0</v>
      </c>
      <c r="D3" s="1599">
        <f>SUM(D4:D17)</f>
        <v>57000</v>
      </c>
      <c r="E3" s="1600"/>
      <c r="F3" s="1601"/>
      <c r="G3" s="1599">
        <f>Bilanouverture!F6</f>
        <v>0</v>
      </c>
      <c r="H3" s="1624" t="str">
        <f>Bilanouverture!G6</f>
        <v>Capital social</v>
      </c>
      <c r="I3" s="1625">
        <f>SUM(I4:I10)</f>
        <v>0</v>
      </c>
      <c r="J3" s="1602">
        <f>SUM(J4:J10)</f>
        <v>-1400</v>
      </c>
      <c r="K3" s="1603"/>
      <c r="L3" s="1604"/>
    </row>
    <row r="4" spans="1:12">
      <c r="A4" s="1598">
        <f>Bilanouverture!A8</f>
        <v>211</v>
      </c>
      <c r="B4" s="1598" t="str">
        <f>Bilanouverture!B8</f>
        <v>Frais recherche et développement</v>
      </c>
      <c r="C4" s="1598">
        <f>Bilanouverture!E9</f>
        <v>0</v>
      </c>
      <c r="D4" s="1590">
        <f>Bilancloture!E9</f>
        <v>0</v>
      </c>
      <c r="E4" s="1600">
        <f>IF(C4-D4&gt;0,C4-D4,0)</f>
        <v>0</v>
      </c>
      <c r="F4" s="1601">
        <f>IF(C4-D4&lt;0,D4-C4,0)</f>
        <v>0</v>
      </c>
      <c r="G4" s="1599">
        <f>Bilanouverture!F7</f>
        <v>101</v>
      </c>
      <c r="H4" s="1599" t="str">
        <f>Bilanouverture!G7</f>
        <v>Capital Social</v>
      </c>
      <c r="I4" s="1599">
        <f>Bilanouverture!H7</f>
        <v>0</v>
      </c>
      <c r="J4" s="1597">
        <f>Bilancloture!H7</f>
        <v>0</v>
      </c>
      <c r="K4" s="1600">
        <f t="shared" ref="K4:K64" si="0">IF(I4-J4&gt;0,I4-J4,0)</f>
        <v>0</v>
      </c>
      <c r="L4" s="1601">
        <f t="shared" ref="L4:L64" si="1">IF(I4-J4&lt;0,J4-I4,0)</f>
        <v>0</v>
      </c>
    </row>
    <row r="5" spans="1:12">
      <c r="A5" s="1598">
        <f>Bilanouverture!A9</f>
        <v>2811</v>
      </c>
      <c r="B5" s="1598" t="str">
        <f>Bilanouverture!B9</f>
        <v>Amortissements. : frais R &amp;D</v>
      </c>
      <c r="C5" s="1598">
        <f>Bilanouverture!E10</f>
        <v>0</v>
      </c>
      <c r="D5" s="1590">
        <f>Bilancloture!E10</f>
        <v>0</v>
      </c>
      <c r="E5" s="1600">
        <f t="shared" ref="E5:E66" si="2">IF(C5-D5&gt;0,C5-D5,0)</f>
        <v>0</v>
      </c>
      <c r="F5" s="1601">
        <f t="shared" ref="F5:F66" si="3">IF(C5-D5&lt;0,D5-C5,0)</f>
        <v>0</v>
      </c>
      <c r="G5" s="1599" t="str">
        <f>Bilanouverture!F8</f>
        <v>1011</v>
      </c>
      <c r="H5" s="1599" t="str">
        <f>Bilanouverture!G8</f>
        <v>Capital souscrit, non appelé</v>
      </c>
      <c r="I5" s="1599">
        <f>Bilanouverture!H8</f>
        <v>0</v>
      </c>
      <c r="J5" s="1597">
        <f>Bilancloture!H8</f>
        <v>0</v>
      </c>
      <c r="K5" s="1600">
        <f t="shared" si="0"/>
        <v>0</v>
      </c>
      <c r="L5" s="1601">
        <f t="shared" si="1"/>
        <v>0</v>
      </c>
    </row>
    <row r="6" spans="1:12">
      <c r="A6" s="1598">
        <f>Bilanouverture!A10</f>
        <v>212</v>
      </c>
      <c r="B6" s="1598" t="str">
        <f>Bilanouverture!B10</f>
        <v>Brevets, licences, concessions</v>
      </c>
      <c r="C6" s="1598">
        <f>Bilanouverture!E11</f>
        <v>0</v>
      </c>
      <c r="D6" s="1590">
        <f>Bilancloture!E11</f>
        <v>19000</v>
      </c>
      <c r="E6" s="1600">
        <f t="shared" si="2"/>
        <v>0</v>
      </c>
      <c r="F6" s="1601">
        <f t="shared" si="3"/>
        <v>19000</v>
      </c>
      <c r="G6" s="1599">
        <f>Bilanouverture!F9</f>
        <v>1012</v>
      </c>
      <c r="H6" s="1599" t="str">
        <f>Bilanouverture!G9</f>
        <v>Capital souscrit, appelé, non versé</v>
      </c>
      <c r="I6" s="1599">
        <f>Bilanouverture!H9</f>
        <v>0</v>
      </c>
      <c r="J6" s="1597">
        <f>Bilancloture!H9</f>
        <v>0</v>
      </c>
      <c r="K6" s="1600">
        <f t="shared" si="0"/>
        <v>0</v>
      </c>
      <c r="L6" s="1601">
        <f t="shared" si="1"/>
        <v>0</v>
      </c>
    </row>
    <row r="7" spans="1:12">
      <c r="A7" s="1598">
        <f>Bilanouverture!A11</f>
        <v>2812</v>
      </c>
      <c r="B7" s="1598" t="str">
        <f>Bilanouverture!B11</f>
        <v>Amortissements. : brevets, licences</v>
      </c>
      <c r="C7" s="1598">
        <f>Bilanouverture!E12</f>
        <v>0</v>
      </c>
      <c r="D7" s="1590">
        <f>Bilancloture!E12</f>
        <v>0</v>
      </c>
      <c r="E7" s="1600">
        <f t="shared" si="2"/>
        <v>0</v>
      </c>
      <c r="F7" s="1601">
        <f t="shared" si="3"/>
        <v>0</v>
      </c>
      <c r="G7" s="1599">
        <f>Bilanouverture!F10</f>
        <v>1013</v>
      </c>
      <c r="H7" s="1599" t="str">
        <f>Bilanouverture!G10</f>
        <v>Capital souscrit, appelé, versé, non amorti</v>
      </c>
      <c r="I7" s="1599">
        <f>Bilanouverture!H10</f>
        <v>0</v>
      </c>
      <c r="J7" s="1597">
        <f>Bilancloture!H10</f>
        <v>0</v>
      </c>
      <c r="K7" s="1600">
        <f t="shared" si="0"/>
        <v>0</v>
      </c>
      <c r="L7" s="1601">
        <f t="shared" si="1"/>
        <v>0</v>
      </c>
    </row>
    <row r="8" spans="1:12">
      <c r="A8" s="1598">
        <f>Bilanouverture!A12</f>
        <v>213</v>
      </c>
      <c r="B8" s="1598" t="str">
        <f>Bilanouverture!B12</f>
        <v>Logiciels &amp; marques</v>
      </c>
      <c r="C8" s="1598">
        <f>Bilanouverture!E13</f>
        <v>0</v>
      </c>
      <c r="D8" s="1590">
        <f>Bilancloture!E13</f>
        <v>19000</v>
      </c>
      <c r="E8" s="1600">
        <f t="shared" si="2"/>
        <v>0</v>
      </c>
      <c r="F8" s="1601">
        <f t="shared" si="3"/>
        <v>19000</v>
      </c>
      <c r="G8" s="1599">
        <f>Bilanouverture!F11</f>
        <v>1020</v>
      </c>
      <c r="H8" s="1599" t="str">
        <f>Bilanouverture!G11</f>
        <v>Capital par dotation</v>
      </c>
      <c r="I8" s="1599">
        <f>Bilanouverture!H11</f>
        <v>0</v>
      </c>
      <c r="J8" s="1597">
        <f>Bilancloture!H11</f>
        <v>0</v>
      </c>
      <c r="K8" s="1600">
        <f t="shared" si="0"/>
        <v>0</v>
      </c>
      <c r="L8" s="1601">
        <f t="shared" si="1"/>
        <v>0</v>
      </c>
    </row>
    <row r="9" spans="1:12">
      <c r="A9" s="1598">
        <f>Bilanouverture!A13</f>
        <v>2813</v>
      </c>
      <c r="B9" s="1598" t="str">
        <f>Bilanouverture!B13</f>
        <v>Amortissements des logiciels &amp;marques</v>
      </c>
      <c r="C9" s="1598">
        <f>Bilanouverture!E14</f>
        <v>0</v>
      </c>
      <c r="D9" s="1590">
        <f>Bilancloture!E14</f>
        <v>0</v>
      </c>
      <c r="E9" s="1600">
        <f t="shared" si="2"/>
        <v>0</v>
      </c>
      <c r="F9" s="1601">
        <f t="shared" si="3"/>
        <v>0</v>
      </c>
      <c r="G9" s="1599">
        <f>Bilanouverture!F12</f>
        <v>103</v>
      </c>
      <c r="H9" s="1599" t="str">
        <f>Bilanouverture!G12</f>
        <v>Capital personnel</v>
      </c>
      <c r="I9" s="1599">
        <f>Bilanouverture!H12</f>
        <v>0</v>
      </c>
      <c r="J9" s="1597">
        <f>Bilancloture!H12</f>
        <v>0</v>
      </c>
      <c r="K9" s="1600">
        <f t="shared" si="0"/>
        <v>0</v>
      </c>
      <c r="L9" s="1601">
        <f t="shared" si="1"/>
        <v>0</v>
      </c>
    </row>
    <row r="10" spans="1:12">
      <c r="A10" s="1598">
        <f>Bilanouverture!A14</f>
        <v>215</v>
      </c>
      <c r="B10" s="1598" t="str">
        <f>Bilanouverture!B14</f>
        <v>Fonds commercial</v>
      </c>
      <c r="C10" s="1598">
        <f>Bilanouverture!E15</f>
        <v>0</v>
      </c>
      <c r="D10" s="1590">
        <f>Bilancloture!E15</f>
        <v>0</v>
      </c>
      <c r="E10" s="1600">
        <f t="shared" si="2"/>
        <v>0</v>
      </c>
      <c r="F10" s="1601">
        <f t="shared" si="3"/>
        <v>0</v>
      </c>
      <c r="G10" s="1599">
        <f>Bilanouverture!F13</f>
        <v>104</v>
      </c>
      <c r="H10" s="1599" t="str">
        <f>Bilanouverture!G13</f>
        <v>Compte de l'exploitant ou privée</v>
      </c>
      <c r="I10" s="1599">
        <f>Bilanouverture!H13</f>
        <v>0</v>
      </c>
      <c r="J10" s="1597">
        <f>Bilancloture!H13</f>
        <v>-1400</v>
      </c>
      <c r="K10" s="1600">
        <f t="shared" si="0"/>
        <v>1400</v>
      </c>
      <c r="L10" s="1601">
        <f>IF(I10-J10&lt;0,J10-I10,0)</f>
        <v>0</v>
      </c>
    </row>
    <row r="11" spans="1:12">
      <c r="A11" s="1598">
        <f>Bilanouverture!A15</f>
        <v>2815</v>
      </c>
      <c r="B11" s="1598" t="str">
        <f>Bilanouverture!B15</f>
        <v>Amortissements. du fonds commercial</v>
      </c>
      <c r="C11" s="1598">
        <f>Bilanouverture!E16</f>
        <v>0</v>
      </c>
      <c r="D11" s="1590">
        <f>Bilancloture!E16</f>
        <v>0</v>
      </c>
      <c r="E11" s="1600">
        <f t="shared" si="2"/>
        <v>0</v>
      </c>
      <c r="F11" s="1601">
        <f t="shared" si="3"/>
        <v>0</v>
      </c>
      <c r="G11" s="1599">
        <f>Bilanouverture!F14</f>
        <v>0</v>
      </c>
      <c r="H11" s="1624" t="str">
        <f>Bilanouverture!G14</f>
        <v>Primes</v>
      </c>
      <c r="I11" s="1624">
        <f>SUM(I12:I16)</f>
        <v>0</v>
      </c>
      <c r="J11" s="1624">
        <f>SUM(J12:J16)</f>
        <v>0</v>
      </c>
      <c r="K11" s="1600"/>
      <c r="L11" s="1600"/>
    </row>
    <row r="12" spans="1:12">
      <c r="A12" s="1598">
        <f>Bilanouverture!A16</f>
        <v>216</v>
      </c>
      <c r="B12" s="1598" t="str">
        <f>Bilanouverture!B16</f>
        <v>Droit au bail</v>
      </c>
      <c r="C12" s="1598">
        <f>Bilanouverture!E17</f>
        <v>0</v>
      </c>
      <c r="D12" s="1590">
        <f>Bilancloture!E17</f>
        <v>0</v>
      </c>
      <c r="E12" s="1600">
        <f t="shared" si="2"/>
        <v>0</v>
      </c>
      <c r="F12" s="1601">
        <f t="shared" si="3"/>
        <v>0</v>
      </c>
      <c r="G12" s="1599">
        <f>Bilanouverture!F15</f>
        <v>1051</v>
      </c>
      <c r="H12" s="1599" t="str">
        <f>Bilanouverture!G15</f>
        <v>Primes d'émission</v>
      </c>
      <c r="I12" s="1599">
        <f>Bilanouverture!H15</f>
        <v>0</v>
      </c>
      <c r="J12" s="1597">
        <f>Bilancloture!H15</f>
        <v>0</v>
      </c>
      <c r="K12" s="1600">
        <f t="shared" si="0"/>
        <v>0</v>
      </c>
      <c r="L12" s="1601">
        <f t="shared" si="1"/>
        <v>0</v>
      </c>
    </row>
    <row r="13" spans="1:12">
      <c r="A13" s="1598">
        <f>Bilanouverture!A17</f>
        <v>2816</v>
      </c>
      <c r="B13" s="1598" t="str">
        <f>Bilanouverture!B17</f>
        <v>Amortissements du droit au bail</v>
      </c>
      <c r="C13" s="1598">
        <f>Bilanouverture!E18</f>
        <v>0</v>
      </c>
      <c r="D13" s="1590">
        <f>Bilancloture!E18</f>
        <v>0</v>
      </c>
      <c r="E13" s="1600">
        <f t="shared" si="2"/>
        <v>0</v>
      </c>
      <c r="F13" s="1601">
        <f t="shared" si="3"/>
        <v>0</v>
      </c>
      <c r="G13" s="1599">
        <f>Bilanouverture!F16</f>
        <v>1052</v>
      </c>
      <c r="H13" s="1599" t="str">
        <f>Bilanouverture!G16</f>
        <v>Primes d'apport</v>
      </c>
      <c r="I13" s="1599">
        <f>Bilanouverture!H16</f>
        <v>0</v>
      </c>
      <c r="J13" s="1597">
        <f>Bilancloture!H16</f>
        <v>0</v>
      </c>
      <c r="K13" s="1600">
        <f t="shared" si="0"/>
        <v>0</v>
      </c>
      <c r="L13" s="1601">
        <f t="shared" si="1"/>
        <v>0</v>
      </c>
    </row>
    <row r="14" spans="1:12">
      <c r="A14" s="1598">
        <f>Bilanouverture!A18</f>
        <v>217</v>
      </c>
      <c r="B14" s="1598" t="str">
        <f>Bilanouverture!B18</f>
        <v>Investissements de création</v>
      </c>
      <c r="C14" s="1598">
        <f>Bilanouverture!E19</f>
        <v>0</v>
      </c>
      <c r="D14" s="1590">
        <f>Bilancloture!E19</f>
        <v>0</v>
      </c>
      <c r="E14" s="1600">
        <f t="shared" si="2"/>
        <v>0</v>
      </c>
      <c r="F14" s="1601">
        <f t="shared" si="3"/>
        <v>0</v>
      </c>
      <c r="G14" s="1599">
        <f>Bilanouverture!F17</f>
        <v>1053</v>
      </c>
      <c r="H14" s="1599" t="str">
        <f>Bilanouverture!G17</f>
        <v>Primes de fusion</v>
      </c>
      <c r="I14" s="1599">
        <f>Bilanouverture!H17</f>
        <v>0</v>
      </c>
      <c r="J14" s="1597">
        <f>Bilancloture!H17</f>
        <v>0</v>
      </c>
      <c r="K14" s="1600">
        <f t="shared" si="0"/>
        <v>0</v>
      </c>
      <c r="L14" s="1601">
        <f t="shared" si="1"/>
        <v>0</v>
      </c>
    </row>
    <row r="15" spans="1:12">
      <c r="A15" s="1598">
        <f>Bilanouverture!A19</f>
        <v>2817</v>
      </c>
      <c r="B15" s="1598" t="str">
        <f>Bilanouverture!B19</f>
        <v>Amont. : investissements. création</v>
      </c>
      <c r="C15" s="1598">
        <f>Bilanouverture!E20</f>
        <v>0</v>
      </c>
      <c r="D15" s="1590">
        <f>Bilancloture!E20</f>
        <v>0</v>
      </c>
      <c r="E15" s="1600">
        <f t="shared" si="2"/>
        <v>0</v>
      </c>
      <c r="F15" s="1601">
        <f t="shared" si="3"/>
        <v>0</v>
      </c>
      <c r="G15" s="1599">
        <f>Bilanouverture!F18</f>
        <v>1054</v>
      </c>
      <c r="H15" s="1599" t="str">
        <f>Bilanouverture!G18</f>
        <v>Primes de conversion</v>
      </c>
      <c r="I15" s="1599">
        <f>Bilanouverture!H18</f>
        <v>0</v>
      </c>
      <c r="J15" s="1597">
        <f>Bilancloture!H18</f>
        <v>0</v>
      </c>
      <c r="K15" s="1600">
        <f t="shared" si="0"/>
        <v>0</v>
      </c>
      <c r="L15" s="1601">
        <f t="shared" si="1"/>
        <v>0</v>
      </c>
    </row>
    <row r="16" spans="1:12">
      <c r="A16" s="1598">
        <f>Bilanouverture!A20</f>
        <v>218</v>
      </c>
      <c r="B16" s="1598" t="str">
        <f>Bilanouverture!B20</f>
        <v>Autres droits, valeurs incorporelles.</v>
      </c>
      <c r="C16" s="1598">
        <f>Bilanouverture!E21</f>
        <v>0</v>
      </c>
      <c r="D16" s="1590">
        <f>Bilancloture!E21</f>
        <v>19000</v>
      </c>
      <c r="E16" s="1600">
        <f t="shared" si="2"/>
        <v>0</v>
      </c>
      <c r="F16" s="1601">
        <f t="shared" si="3"/>
        <v>19000</v>
      </c>
      <c r="G16" s="1599">
        <f>Bilanouverture!F19</f>
        <v>1058</v>
      </c>
      <c r="H16" s="1599" t="str">
        <f>Bilanouverture!G19</f>
        <v>Autres primes</v>
      </c>
      <c r="I16" s="1599">
        <f>Bilanouverture!H19</f>
        <v>0</v>
      </c>
      <c r="J16" s="1597">
        <f>Bilancloture!H19</f>
        <v>0</v>
      </c>
      <c r="K16" s="1600">
        <f t="shared" si="0"/>
        <v>0</v>
      </c>
      <c r="L16" s="1601">
        <f t="shared" si="1"/>
        <v>0</v>
      </c>
    </row>
    <row r="17" spans="1:12">
      <c r="A17" s="1598">
        <f>Bilanouverture!A21</f>
        <v>2818</v>
      </c>
      <c r="B17" s="1598" t="str">
        <f>Bilanouverture!B21</f>
        <v>Amortissements. autres  valeurs incorporelles.</v>
      </c>
      <c r="C17" s="1598"/>
      <c r="D17" s="1590"/>
      <c r="E17" s="1600">
        <f t="shared" si="2"/>
        <v>0</v>
      </c>
      <c r="F17" s="1601">
        <f t="shared" si="3"/>
        <v>0</v>
      </c>
      <c r="G17" s="1599">
        <f>Bilanouverture!F20</f>
        <v>0</v>
      </c>
      <c r="H17" s="1624" t="str">
        <f>Bilanouverture!G20</f>
        <v>Réserves</v>
      </c>
      <c r="I17" s="1624">
        <f>SUM(I18:I23)</f>
        <v>0</v>
      </c>
      <c r="J17" s="1605">
        <f>SUM(J18:J23)</f>
        <v>0</v>
      </c>
      <c r="K17" s="1600"/>
      <c r="L17" s="1600"/>
    </row>
    <row r="18" spans="1:12">
      <c r="A18" s="1597" t="str">
        <f>Bilanouverture!A22</f>
        <v>Immobilisations Corporelles</v>
      </c>
      <c r="B18" s="1599"/>
      <c r="C18" s="1599">
        <f>SUM(C19:C44)</f>
        <v>0</v>
      </c>
      <c r="D18" s="1599">
        <f>SUM(D19:D44)</f>
        <v>518500</v>
      </c>
      <c r="E18" s="1600"/>
      <c r="F18" s="1600"/>
      <c r="G18" s="1599">
        <f>Bilanouverture!F21</f>
        <v>111</v>
      </c>
      <c r="H18" s="1599" t="str">
        <f>Bilanouverture!G21</f>
        <v>Réserves légales</v>
      </c>
      <c r="I18" s="1599">
        <f>Bilanouverture!H21</f>
        <v>0</v>
      </c>
      <c r="J18" s="1597">
        <f>Bilancloture!H21</f>
        <v>0</v>
      </c>
      <c r="K18" s="1600">
        <f t="shared" si="0"/>
        <v>0</v>
      </c>
      <c r="L18" s="1601">
        <f t="shared" si="1"/>
        <v>0</v>
      </c>
    </row>
    <row r="19" spans="1:12">
      <c r="A19" s="1598">
        <f>Bilanouverture!A23</f>
        <v>221</v>
      </c>
      <c r="B19" s="1598" t="str">
        <f>Bilanouverture!B23</f>
        <v>Terrains agricoles, forestiers, nu, bâtit</v>
      </c>
      <c r="C19" s="1598">
        <f>Bilanouverture!E23</f>
        <v>0</v>
      </c>
      <c r="D19" s="1590">
        <f>Bilancloture!E23</f>
        <v>-5000</v>
      </c>
      <c r="E19" s="1600">
        <f t="shared" si="2"/>
        <v>5000</v>
      </c>
      <c r="F19" s="1601">
        <f t="shared" si="3"/>
        <v>0</v>
      </c>
      <c r="G19" s="1599">
        <f>Bilanouverture!F22</f>
        <v>112</v>
      </c>
      <c r="H19" s="1599" t="str">
        <f>Bilanouverture!G22</f>
        <v>Réserves statutaires ou contractuelles</v>
      </c>
      <c r="I19" s="1599">
        <f>Bilanouverture!H22</f>
        <v>0</v>
      </c>
      <c r="J19" s="1597">
        <f>Bilancloture!H22</f>
        <v>0</v>
      </c>
      <c r="K19" s="1600">
        <f t="shared" si="0"/>
        <v>0</v>
      </c>
      <c r="L19" s="1601">
        <f t="shared" si="1"/>
        <v>0</v>
      </c>
    </row>
    <row r="20" spans="1:12">
      <c r="A20" s="1598">
        <f>Bilanouverture!A24</f>
        <v>231</v>
      </c>
      <c r="B20" s="1598" t="str">
        <f>Bilanouverture!B24</f>
        <v>Bâtiments sur sol propre</v>
      </c>
      <c r="C20" s="1598">
        <f>Bilanouverture!E24</f>
        <v>0</v>
      </c>
      <c r="D20" s="1590">
        <f>Bilancloture!E24</f>
        <v>0</v>
      </c>
      <c r="E20" s="1600">
        <f t="shared" si="2"/>
        <v>0</v>
      </c>
      <c r="F20" s="1601">
        <f t="shared" si="3"/>
        <v>0</v>
      </c>
      <c r="G20" s="1599">
        <f>Bilanouverture!F23</f>
        <v>113</v>
      </c>
      <c r="H20" s="1599" t="str">
        <f>Bilanouverture!G23</f>
        <v>Réserves réglementées</v>
      </c>
      <c r="I20" s="1599">
        <f>Bilanouverture!H23</f>
        <v>0</v>
      </c>
      <c r="J20" s="1597">
        <f>Bilancloture!H23</f>
        <v>0</v>
      </c>
      <c r="K20" s="1600">
        <f t="shared" si="0"/>
        <v>0</v>
      </c>
      <c r="L20" s="1601">
        <f t="shared" si="1"/>
        <v>0</v>
      </c>
    </row>
    <row r="21" spans="1:12">
      <c r="A21" s="1598">
        <f>Bilanouverture!A25</f>
        <v>2831</v>
      </c>
      <c r="B21" s="1598" t="str">
        <f>Bilanouverture!B25</f>
        <v>Amort. bâtim. industriels. sol propre</v>
      </c>
      <c r="C21" s="1598">
        <f>Bilanouverture!E25</f>
        <v>0</v>
      </c>
      <c r="D21" s="1590">
        <f>Bilancloture!E25</f>
        <v>79000</v>
      </c>
      <c r="E21" s="1600">
        <f t="shared" si="2"/>
        <v>0</v>
      </c>
      <c r="F21" s="1601">
        <f t="shared" si="3"/>
        <v>79000</v>
      </c>
      <c r="G21" s="1599">
        <f>Bilanouverture!F24</f>
        <v>1181</v>
      </c>
      <c r="H21" s="1599" t="str">
        <f>Bilanouverture!G24</f>
        <v>Réserves facultatives et diverses</v>
      </c>
      <c r="I21" s="1599">
        <f>Bilanouverture!H24</f>
        <v>0</v>
      </c>
      <c r="J21" s="1597">
        <f>Bilancloture!H24</f>
        <v>0</v>
      </c>
      <c r="K21" s="1600">
        <f t="shared" si="0"/>
        <v>0</v>
      </c>
      <c r="L21" s="1601">
        <f t="shared" si="1"/>
        <v>0</v>
      </c>
    </row>
    <row r="22" spans="1:12">
      <c r="A22" s="1598">
        <f>Bilanouverture!A26</f>
        <v>232</v>
      </c>
      <c r="B22" s="1598" t="str">
        <f>Bilanouverture!B26</f>
        <v>Bâtiments sur sol d'autrui</v>
      </c>
      <c r="C22" s="1598">
        <f>Bilanouverture!E26</f>
        <v>0</v>
      </c>
      <c r="D22" s="1590">
        <f>Bilancloture!E26</f>
        <v>0</v>
      </c>
      <c r="E22" s="1600">
        <f t="shared" si="2"/>
        <v>0</v>
      </c>
      <c r="F22" s="1601">
        <f t="shared" si="3"/>
        <v>0</v>
      </c>
      <c r="G22" s="1599">
        <f>Bilanouverture!F25</f>
        <v>121</v>
      </c>
      <c r="H22" s="1599" t="str">
        <f>Bilanouverture!G25</f>
        <v>Report à nouveau créditeur (+)</v>
      </c>
      <c r="I22" s="1599">
        <f>Bilanouverture!H25</f>
        <v>0</v>
      </c>
      <c r="J22" s="1597">
        <f>Bilancloture!H25</f>
        <v>0</v>
      </c>
      <c r="K22" s="1600">
        <f t="shared" si="0"/>
        <v>0</v>
      </c>
      <c r="L22" s="1601">
        <f t="shared" si="1"/>
        <v>0</v>
      </c>
    </row>
    <row r="23" spans="1:12">
      <c r="A23" s="1598">
        <f>Bilanouverture!A27</f>
        <v>2832</v>
      </c>
      <c r="B23" s="1598" t="str">
        <f>Bilanouverture!B27</f>
        <v>Amort. bâtiments. industriels. sol autrui</v>
      </c>
      <c r="C23" s="1598">
        <f>Bilanouverture!E27</f>
        <v>0</v>
      </c>
      <c r="D23" s="1590">
        <f>Bilancloture!E27</f>
        <v>19000</v>
      </c>
      <c r="E23" s="1600">
        <f t="shared" si="2"/>
        <v>0</v>
      </c>
      <c r="F23" s="1601">
        <f t="shared" si="3"/>
        <v>19000</v>
      </c>
      <c r="G23" s="1599">
        <f>Bilanouverture!F26</f>
        <v>129</v>
      </c>
      <c r="H23" s="1599" t="str">
        <f>Bilanouverture!G26</f>
        <v>Report à nouveau débiteur(-)</v>
      </c>
      <c r="I23" s="1599">
        <f>Bilanouverture!H26</f>
        <v>0</v>
      </c>
      <c r="J23" s="1597">
        <f>Bilancloture!H26</f>
        <v>0</v>
      </c>
      <c r="K23" s="1600">
        <f t="shared" si="0"/>
        <v>0</v>
      </c>
      <c r="L23" s="1601">
        <f t="shared" si="1"/>
        <v>0</v>
      </c>
    </row>
    <row r="24" spans="1:12">
      <c r="A24" s="1598">
        <f>Bilanouverture!A28</f>
        <v>233</v>
      </c>
      <c r="B24" s="1598" t="str">
        <f>Bilanouverture!B28</f>
        <v>Ouvrages d'infrastructure</v>
      </c>
      <c r="C24" s="1598">
        <f>Bilanouverture!E28</f>
        <v>0</v>
      </c>
      <c r="D24" s="1590">
        <f>Bilancloture!E28</f>
        <v>0</v>
      </c>
      <c r="E24" s="1600">
        <f t="shared" si="2"/>
        <v>0</v>
      </c>
      <c r="F24" s="1601">
        <f t="shared" si="3"/>
        <v>0</v>
      </c>
      <c r="G24" s="1599">
        <f>Bilanouverture!F27</f>
        <v>0</v>
      </c>
      <c r="H24" s="1624" t="str">
        <f>Bilanouverture!G27</f>
        <v>Résultat</v>
      </c>
      <c r="I24" s="1605">
        <f>SUM(I25:I26)</f>
        <v>0</v>
      </c>
      <c r="J24" s="1605">
        <f>SUM(J25:J26)</f>
        <v>0</v>
      </c>
      <c r="K24" s="1600"/>
      <c r="L24" s="1600"/>
    </row>
    <row r="25" spans="1:12">
      <c r="A25" s="1598">
        <f>Bilanouverture!A29</f>
        <v>2833</v>
      </c>
      <c r="B25" s="1598" t="str">
        <f>Bilanouverture!B29</f>
        <v>Amortissements. : ouvrages infrastructure</v>
      </c>
      <c r="C25" s="1598">
        <f>Bilanouverture!E29</f>
        <v>0</v>
      </c>
      <c r="D25" s="1590">
        <f>Bilancloture!E29</f>
        <v>19000</v>
      </c>
      <c r="E25" s="1600">
        <f t="shared" si="2"/>
        <v>0</v>
      </c>
      <c r="F25" s="1601">
        <f t="shared" si="3"/>
        <v>19000</v>
      </c>
      <c r="G25" s="1599">
        <f>Bilanouverture!F28</f>
        <v>131</v>
      </c>
      <c r="H25" s="1599" t="str">
        <f>Bilanouverture!G28</f>
        <v>Résultat de l'exercice bénéfice/perte</v>
      </c>
      <c r="I25" s="1599">
        <f>Bilanouverture!H28</f>
        <v>0</v>
      </c>
      <c r="J25" s="1597"/>
      <c r="K25" s="1600">
        <f t="shared" si="0"/>
        <v>0</v>
      </c>
      <c r="L25" s="1601">
        <f t="shared" si="1"/>
        <v>0</v>
      </c>
    </row>
    <row r="26" spans="1:12">
      <c r="A26" s="1598">
        <f>Bilanouverture!A30</f>
        <v>234</v>
      </c>
      <c r="B26" s="1598" t="str">
        <f>Bilanouverture!B30</f>
        <v>Installations techniques</v>
      </c>
      <c r="C26" s="1598">
        <f>Bilanouverture!E30</f>
        <v>0</v>
      </c>
      <c r="D26" s="1590">
        <f>Bilancloture!E30</f>
        <v>0</v>
      </c>
      <c r="E26" s="1600">
        <f t="shared" si="2"/>
        <v>0</v>
      </c>
      <c r="F26" s="1601">
        <f t="shared" si="3"/>
        <v>0</v>
      </c>
      <c r="G26" s="1599">
        <f>Bilanouverture!F29</f>
        <v>139</v>
      </c>
      <c r="H26" s="1599" t="str">
        <f>Bilanouverture!G29</f>
        <v>Résultat en attente d'affectation</v>
      </c>
      <c r="I26" s="1599">
        <f>Bilanouverture!H29</f>
        <v>0</v>
      </c>
      <c r="J26" s="1597">
        <f>Bilancloture!H29</f>
        <v>0</v>
      </c>
      <c r="K26" s="1600">
        <f t="shared" si="0"/>
        <v>0</v>
      </c>
      <c r="L26" s="1601">
        <f t="shared" si="1"/>
        <v>0</v>
      </c>
    </row>
    <row r="27" spans="1:12">
      <c r="A27" s="1598">
        <f>Bilanouverture!A31</f>
        <v>2834</v>
      </c>
      <c r="B27" s="1598" t="str">
        <f>Bilanouverture!B31</f>
        <v>Amort. : installations. techniques</v>
      </c>
      <c r="C27" s="1598">
        <f>Bilanouverture!E31</f>
        <v>0</v>
      </c>
      <c r="D27" s="1590">
        <f>Bilancloture!E31</f>
        <v>19000</v>
      </c>
      <c r="E27" s="1600">
        <f t="shared" si="2"/>
        <v>0</v>
      </c>
      <c r="F27" s="1601">
        <f t="shared" si="3"/>
        <v>19000</v>
      </c>
      <c r="G27" s="1599">
        <f>Bilanouverture!F30</f>
        <v>0</v>
      </c>
      <c r="H27" s="1624" t="str">
        <f>Bilanouverture!G30</f>
        <v>Autres capitaux propres</v>
      </c>
      <c r="I27" s="1605">
        <f>SUM(I28:I29)</f>
        <v>0</v>
      </c>
      <c r="J27" s="1605">
        <f>SUM(J28:J29)</f>
        <v>0</v>
      </c>
      <c r="K27" s="1600"/>
      <c r="L27" s="1600"/>
    </row>
    <row r="28" spans="1:12">
      <c r="A28" s="1598">
        <f>Bilanouverture!A32</f>
        <v>235</v>
      </c>
      <c r="B28" s="1598" t="str">
        <f>Bilanouverture!B32</f>
        <v>Aménagement de bureaux</v>
      </c>
      <c r="C28" s="1598">
        <f>Bilanouverture!E32</f>
        <v>0</v>
      </c>
      <c r="D28" s="1590">
        <f>Bilancloture!E32</f>
        <v>0</v>
      </c>
      <c r="E28" s="1600">
        <f t="shared" si="2"/>
        <v>0</v>
      </c>
      <c r="F28" s="1601">
        <f t="shared" si="3"/>
        <v>0</v>
      </c>
      <c r="G28" s="1599">
        <f>Bilanouverture!F31</f>
        <v>140</v>
      </c>
      <c r="H28" s="1599" t="str">
        <f>Bilanouverture!G31</f>
        <v>Subventions d'investissement</v>
      </c>
      <c r="I28" s="1599">
        <f>Bilanouverture!H31</f>
        <v>0</v>
      </c>
      <c r="J28" s="1597">
        <f>Bilancloture!H31</f>
        <v>0</v>
      </c>
      <c r="K28" s="1600">
        <f t="shared" si="0"/>
        <v>0</v>
      </c>
      <c r="L28" s="1601">
        <f t="shared" si="1"/>
        <v>0</v>
      </c>
    </row>
    <row r="29" spans="1:12">
      <c r="A29" s="1598">
        <f>Bilanouverture!A33</f>
        <v>2835</v>
      </c>
      <c r="B29" s="1598" t="str">
        <f>Bilanouverture!B33</f>
        <v>Amortissements. : aménagement. bureaux</v>
      </c>
      <c r="C29" s="1598">
        <f>Bilanouverture!E33</f>
        <v>0</v>
      </c>
      <c r="D29" s="1590">
        <f>Bilancloture!E33</f>
        <v>19000</v>
      </c>
      <c r="E29" s="1600">
        <f t="shared" si="2"/>
        <v>0</v>
      </c>
      <c r="F29" s="1601">
        <f t="shared" si="3"/>
        <v>19000</v>
      </c>
      <c r="G29" s="1599">
        <f>Bilanouverture!F32</f>
        <v>150</v>
      </c>
      <c r="H29" s="1599" t="str">
        <f>Bilanouverture!G32</f>
        <v>Provisions réglementées et fonds assimilés</v>
      </c>
      <c r="I29" s="1599">
        <f>Bilanouverture!H32</f>
        <v>0</v>
      </c>
      <c r="J29" s="1597">
        <f>Bilancloture!H32</f>
        <v>0</v>
      </c>
      <c r="K29" s="1600">
        <f t="shared" si="0"/>
        <v>0</v>
      </c>
      <c r="L29" s="1601">
        <f t="shared" si="1"/>
        <v>0</v>
      </c>
    </row>
    <row r="30" spans="1:12">
      <c r="A30" s="1598">
        <f>Bilanouverture!A34</f>
        <v>241</v>
      </c>
      <c r="B30" s="1598" t="str">
        <f>Bilanouverture!B34</f>
        <v>Matériel, outillage industriel et commercial</v>
      </c>
      <c r="C30" s="1598">
        <f>Bilanouverture!E34</f>
        <v>0</v>
      </c>
      <c r="D30" s="1590">
        <f>Bilancloture!E34</f>
        <v>0</v>
      </c>
      <c r="E30" s="1600">
        <f t="shared" si="2"/>
        <v>0</v>
      </c>
      <c r="F30" s="1601">
        <f t="shared" si="3"/>
        <v>0</v>
      </c>
      <c r="G30" s="1599">
        <f>Bilanouverture!F33</f>
        <v>0</v>
      </c>
      <c r="H30" s="1599" t="str">
        <f>Bilanouverture!G33</f>
        <v>Total I</v>
      </c>
      <c r="I30" s="1599"/>
      <c r="J30" s="1597"/>
      <c r="K30" s="1600">
        <f t="shared" si="0"/>
        <v>0</v>
      </c>
      <c r="L30" s="1601">
        <f t="shared" si="1"/>
        <v>0</v>
      </c>
    </row>
    <row r="31" spans="1:12">
      <c r="A31" s="1598">
        <f>Bilanouverture!A35</f>
        <v>2841</v>
      </c>
      <c r="B31" s="1598" t="str">
        <f>Bilanouverture!B35</f>
        <v>Amort. mat-outillage industriels.</v>
      </c>
      <c r="C31" s="1598">
        <f>Bilanouverture!E35</f>
        <v>0</v>
      </c>
      <c r="D31" s="1590">
        <f>Bilancloture!E35</f>
        <v>249500</v>
      </c>
      <c r="E31" s="1600">
        <f t="shared" si="2"/>
        <v>0</v>
      </c>
      <c r="F31" s="1601">
        <f t="shared" si="3"/>
        <v>249500</v>
      </c>
      <c r="G31" s="1599">
        <f>Bilanouverture!F34</f>
        <v>0</v>
      </c>
      <c r="H31" s="1599">
        <f>Bilanouverture!G34</f>
        <v>0</v>
      </c>
      <c r="I31" s="1599">
        <f>Bilanouverture!H34</f>
        <v>0</v>
      </c>
      <c r="J31" s="1597">
        <f>Bilancloture!H34</f>
        <v>0</v>
      </c>
      <c r="K31" s="1600">
        <f t="shared" si="0"/>
        <v>0</v>
      </c>
      <c r="L31" s="1601">
        <f t="shared" si="1"/>
        <v>0</v>
      </c>
    </row>
    <row r="32" spans="1:12">
      <c r="A32" s="1598">
        <f>Bilanouverture!A36</f>
        <v>242</v>
      </c>
      <c r="B32" s="1598" t="str">
        <f>Bilanouverture!B36</f>
        <v>Matériel et outillage agricole</v>
      </c>
      <c r="C32" s="1598">
        <f>Bilanouverture!E36</f>
        <v>0</v>
      </c>
      <c r="D32" s="1590">
        <f>Bilancloture!E36</f>
        <v>0</v>
      </c>
      <c r="E32" s="1600">
        <f t="shared" si="2"/>
        <v>0</v>
      </c>
      <c r="F32" s="1601">
        <f t="shared" si="3"/>
        <v>0</v>
      </c>
      <c r="G32" s="1599">
        <f>Bilanouverture!F35</f>
        <v>0</v>
      </c>
      <c r="H32" s="1599">
        <f>Bilanouverture!G35</f>
        <v>0</v>
      </c>
      <c r="I32" s="1599">
        <f>Bilanouverture!H35</f>
        <v>0</v>
      </c>
      <c r="J32" s="1597">
        <f>Bilancloture!H35</f>
        <v>0</v>
      </c>
      <c r="K32" s="1600">
        <f t="shared" si="0"/>
        <v>0</v>
      </c>
      <c r="L32" s="1601">
        <f t="shared" si="1"/>
        <v>0</v>
      </c>
    </row>
    <row r="33" spans="1:12">
      <c r="A33" s="1598">
        <f>Bilanouverture!A37</f>
        <v>2842</v>
      </c>
      <c r="B33" s="1598" t="str">
        <f>Bilanouverture!B37</f>
        <v>Amort. mat-outillage agricole</v>
      </c>
      <c r="C33" s="1598">
        <f>Bilanouverture!E37</f>
        <v>0</v>
      </c>
      <c r="D33" s="1590">
        <f>Bilancloture!E37</f>
        <v>19000</v>
      </c>
      <c r="E33" s="1600">
        <f t="shared" si="2"/>
        <v>0</v>
      </c>
      <c r="F33" s="1601">
        <f t="shared" si="3"/>
        <v>19000</v>
      </c>
      <c r="G33" s="1599">
        <f>Bilanouverture!F36</f>
        <v>0</v>
      </c>
      <c r="H33" s="1599">
        <f>Bilanouverture!G36</f>
        <v>0</v>
      </c>
      <c r="I33" s="1599">
        <f>Bilanouverture!H36</f>
        <v>0</v>
      </c>
      <c r="J33" s="1597">
        <f>Bilancloture!H36</f>
        <v>0</v>
      </c>
      <c r="K33" s="1600">
        <f t="shared" si="0"/>
        <v>0</v>
      </c>
      <c r="L33" s="1601">
        <f t="shared" si="1"/>
        <v>0</v>
      </c>
    </row>
    <row r="34" spans="1:12">
      <c r="A34" s="1598">
        <f>Bilanouverture!A38</f>
        <v>243</v>
      </c>
      <c r="B34" s="1598" t="str">
        <f>Bilanouverture!B38</f>
        <v>Matériel informatique</v>
      </c>
      <c r="C34" s="1598">
        <f>Bilanouverture!E38</f>
        <v>0</v>
      </c>
      <c r="D34" s="1590">
        <f>Bilancloture!E38</f>
        <v>0</v>
      </c>
      <c r="E34" s="1600">
        <f t="shared" si="2"/>
        <v>0</v>
      </c>
      <c r="F34" s="1601">
        <f t="shared" si="3"/>
        <v>0</v>
      </c>
      <c r="G34" s="1599">
        <f>Bilanouverture!F37</f>
        <v>0</v>
      </c>
      <c r="H34" s="1599">
        <f>Bilanouverture!G37</f>
        <v>0</v>
      </c>
      <c r="I34" s="1599">
        <f>Bilanouverture!H37</f>
        <v>0</v>
      </c>
      <c r="J34" s="1597">
        <f>Bilancloture!H37</f>
        <v>0</v>
      </c>
      <c r="K34" s="1600">
        <f t="shared" si="0"/>
        <v>0</v>
      </c>
      <c r="L34" s="1601">
        <f t="shared" si="1"/>
        <v>0</v>
      </c>
    </row>
    <row r="35" spans="1:12">
      <c r="A35" s="1598">
        <f>Bilanouverture!A39</f>
        <v>2843</v>
      </c>
      <c r="B35" s="1598" t="str">
        <f>Bilanouverture!B39</f>
        <v>Amort. Matériel informatique</v>
      </c>
      <c r="C35" s="1598">
        <f>Bilanouverture!E39</f>
        <v>0</v>
      </c>
      <c r="D35" s="1590">
        <f>Bilancloture!E39</f>
        <v>24000</v>
      </c>
      <c r="E35" s="1600">
        <f t="shared" si="2"/>
        <v>0</v>
      </c>
      <c r="F35" s="1601">
        <f t="shared" si="3"/>
        <v>24000</v>
      </c>
      <c r="G35" s="1599">
        <f>Bilanouverture!F38</f>
        <v>0</v>
      </c>
      <c r="H35" s="1599">
        <f>Bilanouverture!G38</f>
        <v>0</v>
      </c>
      <c r="I35" s="1599">
        <f>Bilanouverture!H38</f>
        <v>0</v>
      </c>
      <c r="J35" s="1597">
        <f>Bilancloture!H38</f>
        <v>0</v>
      </c>
      <c r="K35" s="1600">
        <f t="shared" si="0"/>
        <v>0</v>
      </c>
      <c r="L35" s="1601">
        <f t="shared" si="1"/>
        <v>0</v>
      </c>
    </row>
    <row r="36" spans="1:12">
      <c r="A36" s="1598">
        <f>Bilanouverture!A40</f>
        <v>244</v>
      </c>
      <c r="B36" s="1598" t="str">
        <f>Bilanouverture!B40</f>
        <v>Matériel mobilier</v>
      </c>
      <c r="C36" s="1598">
        <f>Bilanouverture!E40</f>
        <v>0</v>
      </c>
      <c r="D36" s="1590">
        <f>Bilancloture!E40</f>
        <v>0</v>
      </c>
      <c r="E36" s="1600">
        <f t="shared" si="2"/>
        <v>0</v>
      </c>
      <c r="F36" s="1601">
        <f t="shared" si="3"/>
        <v>0</v>
      </c>
      <c r="G36" s="1599">
        <f>Bilanouverture!F39</f>
        <v>0</v>
      </c>
      <c r="H36" s="1624" t="str">
        <f>Bilanouverture!G39</f>
        <v>Dettes Fin et ressources assimilées</v>
      </c>
      <c r="I36" s="1605">
        <f>SUM(I37:I43)</f>
        <v>0</v>
      </c>
      <c r="J36" s="1605">
        <f>SUM(J37:J43)</f>
        <v>40000</v>
      </c>
      <c r="K36" s="1600"/>
      <c r="L36" s="1600"/>
    </row>
    <row r="37" spans="1:12">
      <c r="A37" s="1598">
        <f>Bilanouverture!A41</f>
        <v>2844</v>
      </c>
      <c r="B37" s="1598" t="str">
        <f>Bilanouverture!B41</f>
        <v>Amortissement mobilier</v>
      </c>
      <c r="C37" s="1598">
        <f>Bilanouverture!E41</f>
        <v>0</v>
      </c>
      <c r="D37" s="1590">
        <f>Bilancloture!E41</f>
        <v>19000</v>
      </c>
      <c r="E37" s="1600">
        <f t="shared" si="2"/>
        <v>0</v>
      </c>
      <c r="F37" s="1601">
        <f t="shared" si="3"/>
        <v>19000</v>
      </c>
      <c r="G37" s="1599">
        <f>Bilanouverture!F40</f>
        <v>161</v>
      </c>
      <c r="H37" s="1599" t="str">
        <f>Bilanouverture!G40</f>
        <v>Emprunts obligataires</v>
      </c>
      <c r="I37" s="1599">
        <f>Bilanouverture!H40</f>
        <v>0</v>
      </c>
      <c r="J37" s="1597">
        <f>Bilancloture!H40</f>
        <v>0</v>
      </c>
      <c r="K37" s="1600">
        <f t="shared" si="0"/>
        <v>0</v>
      </c>
      <c r="L37" s="1601">
        <f t="shared" si="1"/>
        <v>0</v>
      </c>
    </row>
    <row r="38" spans="1:12">
      <c r="A38" s="1598">
        <f>Bilanouverture!A42</f>
        <v>245</v>
      </c>
      <c r="B38" s="1598" t="str">
        <f>Bilanouverture!B42</f>
        <v>Matériel de transport</v>
      </c>
      <c r="C38" s="1598">
        <f>Bilanouverture!E42</f>
        <v>0</v>
      </c>
      <c r="D38" s="1590">
        <f>Bilancloture!E42</f>
        <v>0</v>
      </c>
      <c r="E38" s="1600">
        <f t="shared" si="2"/>
        <v>0</v>
      </c>
      <c r="F38" s="1601">
        <f t="shared" si="3"/>
        <v>0</v>
      </c>
      <c r="G38" s="1599">
        <f>Bilanouverture!F41</f>
        <v>162</v>
      </c>
      <c r="H38" s="1599" t="str">
        <f>Bilanouverture!G41</f>
        <v>Emprunts auprès des établissement de crédit</v>
      </c>
      <c r="I38" s="1599">
        <f>Bilanouverture!H41</f>
        <v>0</v>
      </c>
      <c r="J38" s="1597">
        <f>Bilancloture!H41</f>
        <v>40000</v>
      </c>
      <c r="K38" s="1600">
        <f t="shared" si="0"/>
        <v>0</v>
      </c>
      <c r="L38" s="1601">
        <f t="shared" si="1"/>
        <v>40000</v>
      </c>
    </row>
    <row r="39" spans="1:12">
      <c r="A39" s="1598">
        <f>Bilanouverture!A43</f>
        <v>2845</v>
      </c>
      <c r="B39" s="1598" t="str">
        <f>Bilanouverture!B43</f>
        <v>Amortissement matériel transport</v>
      </c>
      <c r="C39" s="1598">
        <f>Bilanouverture!E43</f>
        <v>0</v>
      </c>
      <c r="D39" s="1590">
        <f>Bilancloture!E43</f>
        <v>19000</v>
      </c>
      <c r="E39" s="1600">
        <f t="shared" si="2"/>
        <v>0</v>
      </c>
      <c r="F39" s="1601">
        <f t="shared" si="3"/>
        <v>19000</v>
      </c>
      <c r="G39" s="1599">
        <f>Bilanouverture!F42</f>
        <v>164</v>
      </c>
      <c r="H39" s="1599" t="str">
        <f>Bilanouverture!G42</f>
        <v>Avances et divers acomptes reçues</v>
      </c>
      <c r="I39" s="1599">
        <f>Bilanouverture!H42</f>
        <v>0</v>
      </c>
      <c r="J39" s="1597">
        <f>Bilancloture!H42</f>
        <v>0</v>
      </c>
      <c r="K39" s="1600">
        <f t="shared" si="0"/>
        <v>0</v>
      </c>
      <c r="L39" s="1601">
        <f t="shared" si="1"/>
        <v>0</v>
      </c>
    </row>
    <row r="40" spans="1:12">
      <c r="A40" s="1598">
        <f>Bilanouverture!A44</f>
        <v>246</v>
      </c>
      <c r="B40" s="1598" t="str">
        <f>Bilanouverture!B44</f>
        <v>Immobilisations. animales, agricoles</v>
      </c>
      <c r="C40" s="1598">
        <f>Bilanouverture!E44</f>
        <v>0</v>
      </c>
      <c r="D40" s="1590">
        <f>Bilancloture!E44</f>
        <v>0</v>
      </c>
      <c r="E40" s="1600">
        <f t="shared" si="2"/>
        <v>0</v>
      </c>
      <c r="F40" s="1601">
        <f t="shared" si="3"/>
        <v>0</v>
      </c>
      <c r="G40" s="1599">
        <f>Bilanouverture!F43</f>
        <v>165</v>
      </c>
      <c r="H40" s="1599" t="str">
        <f>Bilanouverture!G43</f>
        <v>Divers cautionnements reçus</v>
      </c>
      <c r="I40" s="1599">
        <f>Bilanouverture!H43</f>
        <v>0</v>
      </c>
      <c r="J40" s="1597">
        <f>Bilancloture!H43</f>
        <v>0</v>
      </c>
      <c r="K40" s="1600">
        <f t="shared" si="0"/>
        <v>0</v>
      </c>
      <c r="L40" s="1601">
        <f t="shared" si="1"/>
        <v>0</v>
      </c>
    </row>
    <row r="41" spans="1:12">
      <c r="A41" s="1598">
        <f>Bilanouverture!A45</f>
        <v>2846</v>
      </c>
      <c r="B41" s="1598" t="str">
        <f>Bilanouverture!B45</f>
        <v>Amort. : immobilisations. animales, agric.</v>
      </c>
      <c r="C41" s="1598">
        <f>Bilanouverture!E45</f>
        <v>0</v>
      </c>
      <c r="D41" s="1590">
        <f>Bilancloture!E45</f>
        <v>19000</v>
      </c>
      <c r="E41" s="1600">
        <f t="shared" si="2"/>
        <v>0</v>
      </c>
      <c r="F41" s="1601">
        <f t="shared" si="3"/>
        <v>19000</v>
      </c>
      <c r="G41" s="1599">
        <f>Bilanouverture!F44</f>
        <v>166</v>
      </c>
      <c r="H41" s="1599" t="str">
        <f>Bilanouverture!G44</f>
        <v>Intérêt couru sur emprunts obligataires</v>
      </c>
      <c r="I41" s="1599">
        <f>Bilanouverture!H44</f>
        <v>0</v>
      </c>
      <c r="J41" s="1597">
        <f>Bilancloture!H44</f>
        <v>0</v>
      </c>
      <c r="K41" s="1600">
        <f t="shared" si="0"/>
        <v>0</v>
      </c>
      <c r="L41" s="1601">
        <f t="shared" si="1"/>
        <v>0</v>
      </c>
    </row>
    <row r="42" spans="1:12">
      <c r="A42" s="1598">
        <f>Bilanouverture!A46</f>
        <v>249</v>
      </c>
      <c r="B42" s="1598" t="str">
        <f>Bilanouverture!B46</f>
        <v>Autres immobilisations corporelles en cours</v>
      </c>
      <c r="C42" s="1598">
        <f>Bilanouverture!E46</f>
        <v>0</v>
      </c>
      <c r="D42" s="1590">
        <f>Bilancloture!E46</f>
        <v>0</v>
      </c>
      <c r="E42" s="1600">
        <f t="shared" si="2"/>
        <v>0</v>
      </c>
      <c r="F42" s="1601">
        <f t="shared" si="3"/>
        <v>0</v>
      </c>
      <c r="G42" s="1599">
        <f>Bilanouverture!F45</f>
        <v>170</v>
      </c>
      <c r="H42" s="1599" t="str">
        <f>Bilanouverture!G45</f>
        <v>Dettes de crédit-bail et contrats assimilés</v>
      </c>
      <c r="I42" s="1599">
        <f>Bilanouverture!H45</f>
        <v>0</v>
      </c>
      <c r="J42" s="1597">
        <f>Bilancloture!H45</f>
        <v>0</v>
      </c>
      <c r="K42" s="1600">
        <f t="shared" si="0"/>
        <v>0</v>
      </c>
      <c r="L42" s="1601">
        <f t="shared" si="1"/>
        <v>0</v>
      </c>
    </row>
    <row r="43" spans="1:12">
      <c r="A43" s="1598">
        <f>Bilanouverture!A47</f>
        <v>2849</v>
      </c>
      <c r="B43" s="1598" t="str">
        <f>Bilanouverture!B47</f>
        <v>Amortissements. : autres immobilisations corporelles en cours</v>
      </c>
      <c r="C43" s="1598">
        <f>Bilanouverture!E47</f>
        <v>0</v>
      </c>
      <c r="D43" s="1590">
        <f>Bilancloture!E47</f>
        <v>19000</v>
      </c>
      <c r="E43" s="1600">
        <f t="shared" si="2"/>
        <v>0</v>
      </c>
      <c r="F43" s="1601">
        <f t="shared" si="3"/>
        <v>19000</v>
      </c>
      <c r="G43" s="1599">
        <f>Bilanouverture!F46</f>
        <v>184</v>
      </c>
      <c r="H43" s="1599" t="str">
        <f>Bilanouverture!G46</f>
        <v>Autres dettes financières diverses</v>
      </c>
      <c r="I43" s="1599">
        <f>Bilanouverture!H46</f>
        <v>0</v>
      </c>
      <c r="J43" s="1597">
        <f>Bilancloture!H46</f>
        <v>0</v>
      </c>
      <c r="K43" s="1600">
        <f t="shared" si="0"/>
        <v>0</v>
      </c>
      <c r="L43" s="1601">
        <f t="shared" si="1"/>
        <v>0</v>
      </c>
    </row>
    <row r="44" spans="1:12">
      <c r="A44" s="1598">
        <f>Bilanouverture!A48</f>
        <v>250</v>
      </c>
      <c r="B44" s="1598" t="str">
        <f>Bilanouverture!B48</f>
        <v>Avances, acomptes versés sur immobilisations</v>
      </c>
      <c r="C44" s="1598">
        <f>Bilanouverture!E48</f>
        <v>0</v>
      </c>
      <c r="D44" s="1590">
        <f>Bilancloture!E48</f>
        <v>0</v>
      </c>
      <c r="E44" s="1600">
        <f t="shared" si="2"/>
        <v>0</v>
      </c>
      <c r="F44" s="1601">
        <f t="shared" si="3"/>
        <v>0</v>
      </c>
      <c r="G44" s="1599">
        <f>Bilanouverture!F47</f>
        <v>0</v>
      </c>
      <c r="H44" s="1624" t="str">
        <f>Bilanouverture!G47</f>
        <v>Provisions financières pour risques et charges</v>
      </c>
      <c r="I44" s="1624">
        <f>SUM(I45:I52)</f>
        <v>0</v>
      </c>
      <c r="J44" s="1605">
        <f>SUM(J45:J52)</f>
        <v>0</v>
      </c>
      <c r="K44" s="1600"/>
      <c r="L44" s="1600"/>
    </row>
    <row r="45" spans="1:12">
      <c r="A45" s="1597" t="str">
        <f>Bilanouverture!A49</f>
        <v>Immobilisations financières</v>
      </c>
      <c r="B45" s="1599"/>
      <c r="C45" s="1599">
        <f>SUM(C46:C52)</f>
        <v>0</v>
      </c>
      <c r="D45" s="1599">
        <f>SUM(D46:D52)</f>
        <v>99600</v>
      </c>
      <c r="E45" s="1600"/>
      <c r="F45" s="1600"/>
      <c r="G45" s="1599">
        <f>Bilanouverture!F48</f>
        <v>191</v>
      </c>
      <c r="H45" s="1599" t="str">
        <f>Bilanouverture!G48</f>
        <v>Provision pour litiges</v>
      </c>
      <c r="I45" s="1599">
        <f>Bilanouverture!H48</f>
        <v>0</v>
      </c>
      <c r="J45" s="1597">
        <f>Bilancloture!H48</f>
        <v>0</v>
      </c>
      <c r="K45" s="1600">
        <f t="shared" si="0"/>
        <v>0</v>
      </c>
      <c r="L45" s="1601">
        <f t="shared" si="1"/>
        <v>0</v>
      </c>
    </row>
    <row r="46" spans="1:12">
      <c r="A46" s="1598">
        <f>Bilanouverture!A50</f>
        <v>260</v>
      </c>
      <c r="B46" s="1598" t="str">
        <f>Bilanouverture!B50</f>
        <v xml:space="preserve"> Participations</v>
      </c>
      <c r="C46" s="1598">
        <f>Bilanouverture!E50</f>
        <v>0</v>
      </c>
      <c r="D46" s="1590">
        <f>Bilancloture!E50</f>
        <v>-1000</v>
      </c>
      <c r="E46" s="1600">
        <f t="shared" si="2"/>
        <v>1000</v>
      </c>
      <c r="F46" s="1601">
        <f t="shared" si="3"/>
        <v>0</v>
      </c>
      <c r="G46" s="1599">
        <f>Bilanouverture!F49</f>
        <v>192</v>
      </c>
      <c r="H46" s="1599" t="str">
        <f>Bilanouverture!G49</f>
        <v>Provision pour pertes  créances clients</v>
      </c>
      <c r="I46" s="1599">
        <f>Bilanouverture!H49</f>
        <v>0</v>
      </c>
      <c r="J46" s="1597">
        <f>Bilancloture!H49</f>
        <v>0</v>
      </c>
      <c r="K46" s="1600">
        <f t="shared" si="0"/>
        <v>0</v>
      </c>
      <c r="L46" s="1601">
        <f t="shared" si="1"/>
        <v>0</v>
      </c>
    </row>
    <row r="47" spans="1:12">
      <c r="A47" s="1598">
        <f>Bilanouverture!A51</f>
        <v>266</v>
      </c>
      <c r="B47" s="1598" t="str">
        <f>Bilanouverture!B51</f>
        <v xml:space="preserve"> Créances rattachées à des participations</v>
      </c>
      <c r="C47" s="1598">
        <f>Bilanouverture!E51</f>
        <v>0</v>
      </c>
      <c r="D47" s="1590">
        <f>Bilancloture!E51</f>
        <v>200</v>
      </c>
      <c r="E47" s="1600">
        <f t="shared" si="2"/>
        <v>0</v>
      </c>
      <c r="F47" s="1601">
        <f t="shared" si="3"/>
        <v>200</v>
      </c>
      <c r="G47" s="1599">
        <f>Bilanouverture!F50</f>
        <v>194</v>
      </c>
      <c r="H47" s="1599" t="str">
        <f>Bilanouverture!G50</f>
        <v>Provision pour pertes de change</v>
      </c>
      <c r="I47" s="1599">
        <f>Bilanouverture!H50</f>
        <v>0</v>
      </c>
      <c r="J47" s="1597">
        <f>Bilancloture!H50</f>
        <v>0</v>
      </c>
      <c r="K47" s="1600">
        <f t="shared" si="0"/>
        <v>0</v>
      </c>
      <c r="L47" s="1601">
        <f t="shared" si="1"/>
        <v>0</v>
      </c>
    </row>
    <row r="48" spans="1:12">
      <c r="A48" s="1598">
        <f>Bilanouverture!A52</f>
        <v>271</v>
      </c>
      <c r="B48" s="1598" t="str">
        <f>Bilanouverture!B52</f>
        <v>Titres immobilisés actions</v>
      </c>
      <c r="C48" s="1598">
        <f>Bilanouverture!E52</f>
        <v>0</v>
      </c>
      <c r="D48" s="1590">
        <f>Bilancloture!E52</f>
        <v>0</v>
      </c>
      <c r="E48" s="1600">
        <f t="shared" si="2"/>
        <v>0</v>
      </c>
      <c r="F48" s="1601">
        <f t="shared" si="3"/>
        <v>0</v>
      </c>
      <c r="G48" s="1599">
        <f>Bilanouverture!F51</f>
        <v>195</v>
      </c>
      <c r="H48" s="1599" t="str">
        <f>Bilanouverture!G51</f>
        <v>Provision pour impôt</v>
      </c>
      <c r="I48" s="1599">
        <f>Bilanouverture!H51</f>
        <v>0</v>
      </c>
      <c r="J48" s="1597">
        <f>Bilancloture!H51</f>
        <v>0</v>
      </c>
      <c r="K48" s="1600">
        <f t="shared" si="0"/>
        <v>0</v>
      </c>
      <c r="L48" s="1601">
        <f t="shared" si="1"/>
        <v>0</v>
      </c>
    </row>
    <row r="49" spans="1:12">
      <c r="A49" s="1598">
        <f>Bilanouverture!A53</f>
        <v>272</v>
      </c>
      <c r="B49" s="1598" t="str">
        <f>Bilanouverture!B53</f>
        <v>Titres immobilisés obligations</v>
      </c>
      <c r="C49" s="1598">
        <f>Bilanouverture!E53</f>
        <v>0</v>
      </c>
      <c r="D49" s="1590">
        <f>Bilancloture!E53</f>
        <v>10000</v>
      </c>
      <c r="E49" s="1600">
        <f t="shared" si="2"/>
        <v>0</v>
      </c>
      <c r="F49" s="1601">
        <f t="shared" si="3"/>
        <v>10000</v>
      </c>
      <c r="G49" s="1599">
        <f>Bilanouverture!F52</f>
        <v>197</v>
      </c>
      <c r="H49" s="1599" t="str">
        <f>Bilanouverture!G52</f>
        <v>Provision pour charges à repartir sur plusieurs exercices</v>
      </c>
      <c r="I49" s="1599">
        <f>Bilanouverture!H52</f>
        <v>0</v>
      </c>
      <c r="J49" s="1597">
        <f>Bilancloture!H52</f>
        <v>0</v>
      </c>
      <c r="K49" s="1600">
        <f t="shared" si="0"/>
        <v>0</v>
      </c>
      <c r="L49" s="1601">
        <f t="shared" si="1"/>
        <v>0</v>
      </c>
    </row>
    <row r="50" spans="1:12">
      <c r="A50" s="1598">
        <f>Bilanouverture!A54</f>
        <v>274</v>
      </c>
      <c r="B50" s="1598" t="str">
        <f>Bilanouverture!B54</f>
        <v xml:space="preserve"> Prêts consentits par l'entreprise</v>
      </c>
      <c r="C50" s="1598">
        <f>Bilanouverture!E54</f>
        <v>0</v>
      </c>
      <c r="D50" s="1590">
        <f>Bilancloture!E54</f>
        <v>0</v>
      </c>
      <c r="E50" s="1600">
        <f t="shared" si="2"/>
        <v>0</v>
      </c>
      <c r="F50" s="1601">
        <f t="shared" si="3"/>
        <v>0</v>
      </c>
      <c r="G50" s="1599">
        <f>Bilanouverture!F53</f>
        <v>1971</v>
      </c>
      <c r="H50" s="1599" t="str">
        <f>Bilanouverture!G53</f>
        <v>Provisions pour grosses réparations</v>
      </c>
      <c r="I50" s="1599">
        <f>Bilanouverture!H53</f>
        <v>0</v>
      </c>
      <c r="J50" s="1597">
        <f>Bilancloture!H53</f>
        <v>0</v>
      </c>
      <c r="K50" s="1600">
        <f t="shared" si="0"/>
        <v>0</v>
      </c>
      <c r="L50" s="1601">
        <f t="shared" si="1"/>
        <v>0</v>
      </c>
    </row>
    <row r="51" spans="1:12">
      <c r="A51" s="1598">
        <f>Bilanouverture!A55</f>
        <v>275</v>
      </c>
      <c r="B51" s="1598" t="str">
        <f>Bilanouverture!B55</f>
        <v>Dépôt et Cautionnement versé par l'entreprise</v>
      </c>
      <c r="C51" s="1598">
        <f>Bilanouverture!E55</f>
        <v>0</v>
      </c>
      <c r="D51" s="1590">
        <f>Bilancloture!E55</f>
        <v>0</v>
      </c>
      <c r="E51" s="1600">
        <f t="shared" si="2"/>
        <v>0</v>
      </c>
      <c r="F51" s="1601">
        <f t="shared" si="3"/>
        <v>0</v>
      </c>
      <c r="G51" s="1599">
        <f>Bilanouverture!F54</f>
        <v>1981</v>
      </c>
      <c r="H51" s="1599" t="str">
        <f>Bilanouverture!G54</f>
        <v>Provisions pour amendes et pénalités</v>
      </c>
      <c r="I51" s="1599">
        <f>Bilanouverture!H54</f>
        <v>0</v>
      </c>
      <c r="J51" s="1597">
        <f>Bilancloture!H54</f>
        <v>0</v>
      </c>
      <c r="K51" s="1600">
        <f t="shared" si="0"/>
        <v>0</v>
      </c>
      <c r="L51" s="1601">
        <f t="shared" si="1"/>
        <v>0</v>
      </c>
    </row>
    <row r="52" spans="1:12">
      <c r="A52" s="1598">
        <f>Bilanouverture!A56</f>
        <v>279</v>
      </c>
      <c r="B52" s="1598" t="str">
        <f>Bilanouverture!B56</f>
        <v xml:space="preserve"> Autres créances</v>
      </c>
      <c r="C52" s="1598">
        <f>Bilanouverture!E56</f>
        <v>0</v>
      </c>
      <c r="D52" s="1590">
        <f>Bilancloture!E56</f>
        <v>90400</v>
      </c>
      <c r="E52" s="1600">
        <f t="shared" si="2"/>
        <v>0</v>
      </c>
      <c r="F52" s="1601">
        <f t="shared" si="3"/>
        <v>90400</v>
      </c>
      <c r="G52" s="1599">
        <f>Bilanouverture!F55</f>
        <v>1982</v>
      </c>
      <c r="H52" s="1599" t="str">
        <f>Bilanouverture!G55</f>
        <v>Provisions sur des immobilisations</v>
      </c>
      <c r="I52" s="1599">
        <f>Bilanouverture!H55</f>
        <v>0</v>
      </c>
      <c r="J52" s="1597">
        <f>Bilancloture!H55</f>
        <v>0</v>
      </c>
      <c r="K52" s="1600">
        <f t="shared" si="0"/>
        <v>0</v>
      </c>
      <c r="L52" s="1601">
        <f t="shared" si="1"/>
        <v>0</v>
      </c>
    </row>
    <row r="53" spans="1:12">
      <c r="A53" s="1597" t="str">
        <f>Bilanouverture!A59</f>
        <v>Stocks ,en-cours, marchandises</v>
      </c>
      <c r="B53" s="1599"/>
      <c r="C53" s="1599">
        <f>SUM(C54:C59)</f>
        <v>0</v>
      </c>
      <c r="D53" s="1599">
        <f>SUM(D54:D59)</f>
        <v>-39000</v>
      </c>
      <c r="E53" s="1600"/>
      <c r="F53" s="1600"/>
      <c r="G53" s="1599"/>
      <c r="H53" s="1599"/>
      <c r="I53" s="1599"/>
      <c r="J53" s="1599"/>
      <c r="K53" s="1600">
        <f t="shared" si="0"/>
        <v>0</v>
      </c>
      <c r="L53" s="1601">
        <f t="shared" si="1"/>
        <v>0</v>
      </c>
    </row>
    <row r="54" spans="1:12">
      <c r="A54" s="1598">
        <f>Bilanouverture!A60</f>
        <v>310</v>
      </c>
      <c r="B54" s="1598" t="str">
        <f>Bilanouverture!B60</f>
        <v xml:space="preserve">Marchandises </v>
      </c>
      <c r="C54" s="1598">
        <f>Bilanouverture!E60</f>
        <v>0</v>
      </c>
      <c r="D54" s="1590">
        <f>Bilancloture!E60</f>
        <v>-20000</v>
      </c>
      <c r="E54" s="1600">
        <f t="shared" si="2"/>
        <v>20000</v>
      </c>
      <c r="F54" s="1601">
        <f t="shared" si="3"/>
        <v>0</v>
      </c>
      <c r="G54" s="1599">
        <f>Bilanouverture!F59</f>
        <v>0</v>
      </c>
      <c r="H54" s="1624" t="str">
        <f>Bilanouverture!G59</f>
        <v>Dettes circulantes et ressources ass HAO</v>
      </c>
      <c r="I54" s="1605">
        <f>SUM(I55:I63)</f>
        <v>0</v>
      </c>
      <c r="J54" s="1605">
        <f>SUM(J55:J63)</f>
        <v>-33240</v>
      </c>
      <c r="K54" s="1600"/>
      <c r="L54" s="1600"/>
    </row>
    <row r="55" spans="1:12">
      <c r="A55" s="1598">
        <f>Bilanouverture!A61</f>
        <v>320</v>
      </c>
      <c r="B55" s="1598" t="str">
        <f>Bilanouverture!B61</f>
        <v>Matières premières, fournitures</v>
      </c>
      <c r="C55" s="1598">
        <f>Bilanouverture!E61</f>
        <v>0</v>
      </c>
      <c r="D55" s="1590">
        <f>Bilancloture!E61</f>
        <v>0</v>
      </c>
      <c r="E55" s="1600">
        <f t="shared" si="2"/>
        <v>0</v>
      </c>
      <c r="F55" s="1601">
        <f t="shared" si="3"/>
        <v>0</v>
      </c>
      <c r="G55" s="1599">
        <f>Bilanouverture!F60</f>
        <v>4011</v>
      </c>
      <c r="H55" s="1599" t="str">
        <f>Bilanouverture!G60</f>
        <v>Fournisseurs</v>
      </c>
      <c r="I55" s="1599">
        <f>Bilanouverture!H60</f>
        <v>0</v>
      </c>
      <c r="J55" s="1597">
        <f>Bilancloture!H60</f>
        <v>564460</v>
      </c>
      <c r="K55" s="1600">
        <f t="shared" si="0"/>
        <v>0</v>
      </c>
      <c r="L55" s="1601">
        <f t="shared" si="1"/>
        <v>564460</v>
      </c>
    </row>
    <row r="56" spans="1:12">
      <c r="A56" s="1598">
        <f>Bilanouverture!A62</f>
        <v>330</v>
      </c>
      <c r="B56" s="1598" t="str">
        <f>Bilanouverture!B62</f>
        <v>Autres approvisionnements, emballage récup</v>
      </c>
      <c r="C56" s="1598">
        <f>Bilanouverture!E62</f>
        <v>0</v>
      </c>
      <c r="D56" s="1590">
        <f>Bilancloture!E62</f>
        <v>0</v>
      </c>
      <c r="E56" s="1600">
        <f t="shared" si="2"/>
        <v>0</v>
      </c>
      <c r="F56" s="1601">
        <f t="shared" si="3"/>
        <v>0</v>
      </c>
      <c r="G56" s="1599">
        <f>Bilanouverture!F61</f>
        <v>4012</v>
      </c>
      <c r="H56" s="1599" t="str">
        <f>Bilanouverture!G61</f>
        <v>Fournisseurs étrangers</v>
      </c>
      <c r="I56" s="1599">
        <f>Bilanouverture!H61</f>
        <v>0</v>
      </c>
      <c r="J56" s="1597">
        <f>Bilancloture!H61</f>
        <v>-597700</v>
      </c>
      <c r="K56" s="1600">
        <f t="shared" si="0"/>
        <v>597700</v>
      </c>
      <c r="L56" s="1601">
        <f t="shared" si="1"/>
        <v>0</v>
      </c>
    </row>
    <row r="57" spans="1:12">
      <c r="A57" s="1598">
        <f>Bilanouverture!A63</f>
        <v>340</v>
      </c>
      <c r="B57" s="1598" t="str">
        <f>Bilanouverture!B63</f>
        <v>En-cours de produits</v>
      </c>
      <c r="C57" s="1598">
        <f>Bilanouverture!E63</f>
        <v>0</v>
      </c>
      <c r="D57" s="1590">
        <f>Bilancloture!E63</f>
        <v>-10000</v>
      </c>
      <c r="E57" s="1600">
        <f t="shared" si="2"/>
        <v>10000</v>
      </c>
      <c r="F57" s="1601">
        <f t="shared" si="3"/>
        <v>0</v>
      </c>
      <c r="G57" s="1599">
        <f>Bilanouverture!F62</f>
        <v>4021</v>
      </c>
      <c r="H57" s="1599" t="str">
        <f>Bilanouverture!G62</f>
        <v>Fournisseurs, Effets à payer</v>
      </c>
      <c r="I57" s="1599">
        <f>Bilanouverture!H62</f>
        <v>0</v>
      </c>
      <c r="J57" s="1597">
        <f>Bilancloture!H62</f>
        <v>0</v>
      </c>
      <c r="K57" s="1600">
        <f t="shared" si="0"/>
        <v>0</v>
      </c>
      <c r="L57" s="1601">
        <f t="shared" si="1"/>
        <v>0</v>
      </c>
    </row>
    <row r="58" spans="1:12">
      <c r="A58" s="1598">
        <f>Bilanouverture!A64</f>
        <v>361</v>
      </c>
      <c r="B58" s="1598" t="str">
        <f>Bilanouverture!B64</f>
        <v>Stock de produits finis</v>
      </c>
      <c r="C58" s="1598">
        <f>Bilanouverture!E64</f>
        <v>0</v>
      </c>
      <c r="D58" s="1590">
        <f>Bilancloture!E64</f>
        <v>1000</v>
      </c>
      <c r="E58" s="1600">
        <f t="shared" si="2"/>
        <v>0</v>
      </c>
      <c r="F58" s="1601">
        <f t="shared" si="3"/>
        <v>1000</v>
      </c>
      <c r="G58" s="1599">
        <f>Bilanouverture!F63</f>
        <v>4022</v>
      </c>
      <c r="H58" s="1599" t="str">
        <f>Bilanouverture!G63</f>
        <v>Fournisseurs – étranger Effets à payer</v>
      </c>
      <c r="I58" s="1599">
        <f>Bilanouverture!H63</f>
        <v>0</v>
      </c>
      <c r="J58" s="1597">
        <f>Bilancloture!H63</f>
        <v>0</v>
      </c>
      <c r="K58" s="1600">
        <f t="shared" si="0"/>
        <v>0</v>
      </c>
      <c r="L58" s="1601">
        <f t="shared" si="1"/>
        <v>0</v>
      </c>
    </row>
    <row r="59" spans="1:12">
      <c r="A59" s="1598">
        <f>Bilanouverture!A65</f>
        <v>370</v>
      </c>
      <c r="B59" s="1598" t="str">
        <f>Bilanouverture!B65</f>
        <v>Produits intermèdiaires., résiduels</v>
      </c>
      <c r="C59" s="1598">
        <f>Bilanouverture!E65</f>
        <v>0</v>
      </c>
      <c r="D59" s="1590">
        <f>Bilancloture!E65</f>
        <v>-10000</v>
      </c>
      <c r="E59" s="1600">
        <f t="shared" si="2"/>
        <v>10000</v>
      </c>
      <c r="F59" s="1601">
        <f t="shared" si="3"/>
        <v>0</v>
      </c>
      <c r="G59" s="1599">
        <f>Bilanouverture!F64</f>
        <v>4081</v>
      </c>
      <c r="H59" s="1599" t="str">
        <f>Bilanouverture!G64</f>
        <v>Fournisseurs  facture non parvenues</v>
      </c>
      <c r="I59" s="1599">
        <f>Bilanouverture!H64</f>
        <v>0</v>
      </c>
      <c r="J59" s="1597">
        <f>Bilancloture!H64</f>
        <v>0</v>
      </c>
      <c r="K59" s="1600">
        <f t="shared" si="0"/>
        <v>0</v>
      </c>
      <c r="L59" s="1601">
        <f t="shared" si="1"/>
        <v>0</v>
      </c>
    </row>
    <row r="60" spans="1:12">
      <c r="A60" s="1597" t="str">
        <f>Bilanouverture!A66</f>
        <v>Créances</v>
      </c>
      <c r="B60" s="1599"/>
      <c r="C60" s="1599">
        <f>SUM(C61:C78)</f>
        <v>0</v>
      </c>
      <c r="D60" s="1599">
        <f>SUM(D61:D78)</f>
        <v>1229118</v>
      </c>
      <c r="E60" s="1600"/>
      <c r="F60" s="1600"/>
      <c r="G60" s="1599">
        <f>Bilanouverture!F65</f>
        <v>4086</v>
      </c>
      <c r="H60" s="1599" t="str">
        <f>Bilanouverture!G65</f>
        <v>Fournisseurs, intérêts courus</v>
      </c>
      <c r="I60" s="1599">
        <f>Bilanouverture!H65</f>
        <v>0</v>
      </c>
      <c r="J60" s="1597">
        <f>Bilancloture!H65</f>
        <v>0</v>
      </c>
      <c r="K60" s="1600">
        <f t="shared" si="0"/>
        <v>0</v>
      </c>
      <c r="L60" s="1601">
        <f t="shared" si="1"/>
        <v>0</v>
      </c>
    </row>
    <row r="61" spans="1:12">
      <c r="A61" s="1598">
        <f>Bilanouverture!A67</f>
        <v>411</v>
      </c>
      <c r="B61" s="1598" t="str">
        <f>Bilanouverture!B67</f>
        <v>Clients</v>
      </c>
      <c r="C61" s="1598">
        <f>Bilanouverture!E67</f>
        <v>0</v>
      </c>
      <c r="D61" s="1590">
        <f>Bilancloture!E67</f>
        <v>1105598</v>
      </c>
      <c r="E61" s="1600">
        <f t="shared" si="2"/>
        <v>0</v>
      </c>
      <c r="F61" s="1601">
        <f t="shared" si="3"/>
        <v>1105598</v>
      </c>
      <c r="G61" s="1599">
        <f>Bilanouverture!F66</f>
        <v>4091</v>
      </c>
      <c r="H61" s="1599" t="str">
        <f>Bilanouverture!G66</f>
        <v>Fournisseurs avances et acomptes versés</v>
      </c>
      <c r="I61" s="1599">
        <f>Bilanouverture!H66</f>
        <v>0</v>
      </c>
      <c r="J61" s="1597">
        <f>Bilancloture!H66</f>
        <v>0</v>
      </c>
      <c r="K61" s="1600">
        <f t="shared" si="0"/>
        <v>0</v>
      </c>
      <c r="L61" s="1601">
        <f t="shared" si="1"/>
        <v>0</v>
      </c>
    </row>
    <row r="62" spans="1:12">
      <c r="A62" s="1598">
        <f>Bilanouverture!A68</f>
        <v>4115</v>
      </c>
      <c r="B62" s="1598" t="str">
        <f>Bilanouverture!B68</f>
        <v>client et organismes étrangers</v>
      </c>
      <c r="C62" s="1598">
        <f>Bilanouverture!E68</f>
        <v>0</v>
      </c>
      <c r="D62" s="1590">
        <f>Bilancloture!E68</f>
        <v>62820</v>
      </c>
      <c r="E62" s="1600">
        <f t="shared" si="2"/>
        <v>0</v>
      </c>
      <c r="F62" s="1601">
        <f t="shared" si="3"/>
        <v>62820</v>
      </c>
      <c r="G62" s="1599">
        <f>Bilanouverture!F67</f>
        <v>4094</v>
      </c>
      <c r="H62" s="1599" t="str">
        <f>Bilanouverture!G67</f>
        <v>Fournisseurs créances pour emballages et matériels à rendre</v>
      </c>
      <c r="I62" s="1599">
        <f>Bilanouverture!H67</f>
        <v>0</v>
      </c>
      <c r="J62" s="1597">
        <f>Bilancloture!H67</f>
        <v>0</v>
      </c>
      <c r="K62" s="1600">
        <f t="shared" si="0"/>
        <v>0</v>
      </c>
      <c r="L62" s="1601">
        <f t="shared" si="1"/>
        <v>0</v>
      </c>
    </row>
    <row r="63" spans="1:12">
      <c r="A63" s="1598">
        <f>Bilanouverture!A69</f>
        <v>412</v>
      </c>
      <c r="B63" s="1598" t="str">
        <f>Bilanouverture!B69</f>
        <v>Clients, effets à recevoir</v>
      </c>
      <c r="C63" s="1598">
        <f>Bilanouverture!E69</f>
        <v>0</v>
      </c>
      <c r="D63" s="1590">
        <f>Bilancloture!E69</f>
        <v>500</v>
      </c>
      <c r="E63" s="1600">
        <f t="shared" si="2"/>
        <v>0</v>
      </c>
      <c r="F63" s="1601">
        <f t="shared" si="3"/>
        <v>500</v>
      </c>
      <c r="G63" s="1599">
        <f>Bilanouverture!F68</f>
        <v>4098</v>
      </c>
      <c r="H63" s="1599" t="str">
        <f>Bilanouverture!G68</f>
        <v>Rabais, Remises, Ristournes et autres avoirs à obtenir</v>
      </c>
      <c r="I63" s="1599">
        <f>Bilanouverture!H68</f>
        <v>0</v>
      </c>
      <c r="J63" s="1597">
        <f>Bilancloture!H68</f>
        <v>0</v>
      </c>
      <c r="K63" s="1600">
        <f t="shared" si="0"/>
        <v>0</v>
      </c>
      <c r="L63" s="1601">
        <f t="shared" si="1"/>
        <v>0</v>
      </c>
    </row>
    <row r="64" spans="1:12">
      <c r="A64" s="1598">
        <f>Bilanouverture!A70</f>
        <v>414</v>
      </c>
      <c r="B64" s="1598" t="str">
        <f>Bilanouverture!B70</f>
        <v>Créances Cessions. courantes immobilisations.</v>
      </c>
      <c r="C64" s="1598">
        <f>Bilanouverture!E70</f>
        <v>0</v>
      </c>
      <c r="D64" s="1590">
        <f>Bilancloture!E70</f>
        <v>0</v>
      </c>
      <c r="E64" s="1600">
        <f t="shared" si="2"/>
        <v>0</v>
      </c>
      <c r="F64" s="1601">
        <f t="shared" si="3"/>
        <v>0</v>
      </c>
      <c r="G64" s="1599"/>
      <c r="H64" s="1599"/>
      <c r="I64" s="1599"/>
      <c r="J64" s="1599"/>
      <c r="K64" s="1600">
        <f t="shared" si="0"/>
        <v>0</v>
      </c>
      <c r="L64" s="1601">
        <f t="shared" si="1"/>
        <v>0</v>
      </c>
    </row>
    <row r="65" spans="1:12">
      <c r="A65" s="1598">
        <f>Bilanouverture!A71</f>
        <v>415</v>
      </c>
      <c r="B65" s="1598" t="str">
        <f>Bilanouverture!B71</f>
        <v>Clients effets. escomptés non échus</v>
      </c>
      <c r="C65" s="1598">
        <f>Bilanouverture!E71</f>
        <v>0</v>
      </c>
      <c r="D65" s="1590">
        <f>Bilancloture!E71</f>
        <v>0</v>
      </c>
      <c r="E65" s="1600">
        <f t="shared" si="2"/>
        <v>0</v>
      </c>
      <c r="F65" s="1601">
        <f t="shared" si="3"/>
        <v>0</v>
      </c>
      <c r="G65" s="1599">
        <f>Bilanouverture!F70</f>
        <v>0</v>
      </c>
      <c r="H65" s="1624" t="str">
        <f>Bilanouverture!G70</f>
        <v>Dettes fiscale et sociales</v>
      </c>
      <c r="I65" s="1605">
        <f>SUM(I66:I85)</f>
        <v>0</v>
      </c>
      <c r="J65" s="1605">
        <f>SUM(J66:J85)</f>
        <v>179319.4135021097</v>
      </c>
      <c r="K65" s="1600"/>
      <c r="L65" s="1600"/>
    </row>
    <row r="66" spans="1:12">
      <c r="A66" s="1598">
        <f>Bilanouverture!A72</f>
        <v>416</v>
      </c>
      <c r="B66" s="1598" t="str">
        <f>Bilanouverture!B72</f>
        <v>Créances litigieuses douteuses</v>
      </c>
      <c r="C66" s="1598">
        <f>Bilanouverture!E72</f>
        <v>0</v>
      </c>
      <c r="D66" s="1590">
        <f>Bilancloture!E72</f>
        <v>0</v>
      </c>
      <c r="E66" s="1600">
        <f t="shared" si="2"/>
        <v>0</v>
      </c>
      <c r="F66" s="1601">
        <f t="shared" si="3"/>
        <v>0</v>
      </c>
      <c r="G66" s="1599">
        <f>Bilanouverture!F71</f>
        <v>431</v>
      </c>
      <c r="H66" s="1599" t="str">
        <f>Bilanouverture!G71</f>
        <v>Sécurité sociale , alloc familiale, accident travail, retraite obligatoire...</v>
      </c>
      <c r="I66" s="1599">
        <f>Bilanouverture!H71</f>
        <v>0</v>
      </c>
      <c r="J66" s="1597">
        <f>Bilancloture!H71</f>
        <v>70000</v>
      </c>
      <c r="K66" s="1600">
        <f t="shared" ref="K66:K94" si="4">IF(I66-J66&gt;0,I66-J66,0)</f>
        <v>0</v>
      </c>
      <c r="L66" s="1601">
        <f t="shared" ref="L66:L94" si="5">IF(I66-J66&lt;0,J66-I66,0)</f>
        <v>70000</v>
      </c>
    </row>
    <row r="67" spans="1:12">
      <c r="A67" s="1598">
        <f>Bilanouverture!A73</f>
        <v>418</v>
      </c>
      <c r="B67" s="1598" t="str">
        <f>Bilanouverture!B73</f>
        <v>clients debiteurs facture à etablir</v>
      </c>
      <c r="C67" s="1598">
        <f>Bilanouverture!E73</f>
        <v>0</v>
      </c>
      <c r="D67" s="1590">
        <f>Bilancloture!E73</f>
        <v>0</v>
      </c>
      <c r="E67" s="1600">
        <f t="shared" ref="E67:E92" si="6">IF(C67-D67&gt;0,C67-D67,0)</f>
        <v>0</v>
      </c>
      <c r="F67" s="1601">
        <f t="shared" ref="F67:F93" si="7">IF(C67-D67&lt;0,D67-C67,0)</f>
        <v>0</v>
      </c>
      <c r="G67" s="1599">
        <f>Bilanouverture!F72</f>
        <v>433</v>
      </c>
      <c r="H67" s="1599" t="str">
        <f>Bilanouverture!G72</f>
        <v>Autres organismes sociaux</v>
      </c>
      <c r="I67" s="1599">
        <f>Bilanouverture!H72</f>
        <v>0</v>
      </c>
      <c r="J67" s="1597">
        <f>Bilancloture!H72</f>
        <v>40000</v>
      </c>
      <c r="K67" s="1600">
        <f t="shared" si="4"/>
        <v>0</v>
      </c>
      <c r="L67" s="1601">
        <f t="shared" si="5"/>
        <v>40000</v>
      </c>
    </row>
    <row r="68" spans="1:12">
      <c r="A68" s="1598">
        <f>Bilanouverture!A74</f>
        <v>419</v>
      </c>
      <c r="B68" s="1598" t="str">
        <f>Bilanouverture!B74</f>
        <v>clients  acptes et avces  reçues</v>
      </c>
      <c r="C68" s="1598">
        <f>Bilanouverture!E74</f>
        <v>0</v>
      </c>
      <c r="D68" s="1590">
        <f>Bilancloture!E74</f>
        <v>0</v>
      </c>
      <c r="E68" s="1600">
        <f t="shared" si="6"/>
        <v>0</v>
      </c>
      <c r="F68" s="1601">
        <f t="shared" si="7"/>
        <v>0</v>
      </c>
      <c r="G68" s="1599">
        <f>Bilanouverture!F73</f>
        <v>438</v>
      </c>
      <c r="H68" s="1599" t="str">
        <f>Bilanouverture!G73</f>
        <v>Mutuelle , organismes. Sociaux, Autres charges à payer</v>
      </c>
      <c r="I68" s="1599">
        <f>Bilanouverture!H73</f>
        <v>0</v>
      </c>
      <c r="J68" s="1597">
        <f>Bilancloture!H73</f>
        <v>20000</v>
      </c>
      <c r="K68" s="1600">
        <f t="shared" si="4"/>
        <v>0</v>
      </c>
      <c r="L68" s="1601">
        <f t="shared" si="5"/>
        <v>20000</v>
      </c>
    </row>
    <row r="69" spans="1:12">
      <c r="A69" s="1598">
        <f>Bilanouverture!A75</f>
        <v>4194</v>
      </c>
      <c r="B69" s="1598" t="str">
        <f>Bilanouverture!B75</f>
        <v>Clients, dettes pour emballages et matériels consigné</v>
      </c>
      <c r="C69" s="1598">
        <f>Bilanouverture!E75</f>
        <v>0</v>
      </c>
      <c r="D69" s="1590">
        <f>Bilancloture!E75</f>
        <v>200</v>
      </c>
      <c r="E69" s="1600">
        <f t="shared" si="6"/>
        <v>0</v>
      </c>
      <c r="F69" s="1601">
        <f t="shared" si="7"/>
        <v>200</v>
      </c>
      <c r="G69" s="1599">
        <f>Bilanouverture!F74</f>
        <v>465</v>
      </c>
      <c r="H69" s="1599" t="str">
        <f>Bilanouverture!G74</f>
        <v>Associés, dividendes à payer</v>
      </c>
      <c r="I69" s="1599">
        <f>Bilanouverture!H74</f>
        <v>0</v>
      </c>
      <c r="J69" s="1597">
        <f>Bilancloture!H74</f>
        <v>0</v>
      </c>
      <c r="K69" s="1600">
        <f t="shared" si="4"/>
        <v>0</v>
      </c>
      <c r="L69" s="1601">
        <f t="shared" si="5"/>
        <v>0</v>
      </c>
    </row>
    <row r="70" spans="1:12">
      <c r="A70" s="1598">
        <f>Bilanouverture!A76</f>
        <v>421</v>
      </c>
      <c r="B70" s="1598" t="str">
        <f>Bilanouverture!B76</f>
        <v>Personnel, avances, acomptes salaires</v>
      </c>
      <c r="C70" s="1598">
        <f>Bilanouverture!E76</f>
        <v>0</v>
      </c>
      <c r="D70" s="1590">
        <f>Bilancloture!E76</f>
        <v>0</v>
      </c>
      <c r="E70" s="1600">
        <f t="shared" si="6"/>
        <v>0</v>
      </c>
      <c r="F70" s="1601">
        <f t="shared" si="7"/>
        <v>0</v>
      </c>
      <c r="G70" s="1599">
        <f>Bilanouverture!F75</f>
        <v>4640</v>
      </c>
      <c r="H70" s="1599" t="str">
        <f>Bilanouverture!G75</f>
        <v>Dettes sur immobilisations</v>
      </c>
      <c r="I70" s="1599">
        <f>Bilanouverture!H75</f>
        <v>0</v>
      </c>
      <c r="J70" s="1597">
        <f>Bilancloture!H75</f>
        <v>0</v>
      </c>
      <c r="K70" s="1600">
        <f t="shared" si="4"/>
        <v>0</v>
      </c>
      <c r="L70" s="1601">
        <f t="shared" si="5"/>
        <v>0</v>
      </c>
    </row>
    <row r="71" spans="1:12">
      <c r="A71" s="1598">
        <f>Bilanouverture!A77</f>
        <v>422</v>
      </c>
      <c r="B71" s="1598" t="str">
        <f>Bilanouverture!B77</f>
        <v>Personnel rémunérations dues</v>
      </c>
      <c r="C71" s="1598">
        <f>Bilanouverture!E77</f>
        <v>0</v>
      </c>
      <c r="D71" s="1590">
        <f>Bilancloture!E77</f>
        <v>60000</v>
      </c>
      <c r="E71" s="1600">
        <f t="shared" si="6"/>
        <v>0</v>
      </c>
      <c r="F71" s="1601">
        <f t="shared" si="7"/>
        <v>60000</v>
      </c>
      <c r="G71" s="1599">
        <f>Bilanouverture!F76</f>
        <v>4680</v>
      </c>
      <c r="H71" s="1599" t="str">
        <f>Bilanouverture!G76</f>
        <v>Autres dettes</v>
      </c>
      <c r="I71" s="1599">
        <f>Bilanouverture!H76</f>
        <v>0</v>
      </c>
      <c r="J71" s="1597">
        <f>Bilancloture!H76</f>
        <v>0</v>
      </c>
      <c r="K71" s="1600">
        <f t="shared" si="4"/>
        <v>0</v>
      </c>
      <c r="L71" s="1601">
        <f t="shared" si="5"/>
        <v>0</v>
      </c>
    </row>
    <row r="72" spans="1:12">
      <c r="A72" s="1598">
        <f>Bilanouverture!A78</f>
        <v>4611</v>
      </c>
      <c r="B72" s="1598" t="str">
        <f>Bilanouverture!B78</f>
        <v>Associés apports en nature</v>
      </c>
      <c r="C72" s="1598">
        <f>Bilanouverture!E78</f>
        <v>0</v>
      </c>
      <c r="D72" s="1590">
        <f>Bilancloture!E78</f>
        <v>0</v>
      </c>
      <c r="E72" s="1600">
        <f t="shared" si="6"/>
        <v>0</v>
      </c>
      <c r="F72" s="1601">
        <f t="shared" si="7"/>
        <v>0</v>
      </c>
      <c r="G72" s="1599">
        <f>Bilanouverture!F77</f>
        <v>441</v>
      </c>
      <c r="H72" s="1599" t="str">
        <f>Bilanouverture!G77</f>
        <v>Etat impôt sur les bénéfices</v>
      </c>
      <c r="I72" s="1599">
        <f>Bilanouverture!H77</f>
        <v>0</v>
      </c>
      <c r="J72" s="1597">
        <f>Bilancloture!H77</f>
        <v>0</v>
      </c>
      <c r="K72" s="1600">
        <f t="shared" si="4"/>
        <v>0</v>
      </c>
      <c r="L72" s="1601">
        <f t="shared" si="5"/>
        <v>0</v>
      </c>
    </row>
    <row r="73" spans="1:12">
      <c r="A73" s="1598">
        <f>Bilanouverture!A79</f>
        <v>4612</v>
      </c>
      <c r="B73" s="1598" t="str">
        <f>Bilanouverture!B79</f>
        <v>Associés apports en numéraire</v>
      </c>
      <c r="C73" s="1598">
        <f>Bilanouverture!E79</f>
        <v>0</v>
      </c>
      <c r="D73" s="1590">
        <f>Bilancloture!E79</f>
        <v>0</v>
      </c>
      <c r="E73" s="1600">
        <f t="shared" si="6"/>
        <v>0</v>
      </c>
      <c r="F73" s="1601">
        <f t="shared" si="7"/>
        <v>0</v>
      </c>
      <c r="G73" s="1599">
        <f>Bilanouverture!F78</f>
        <v>442</v>
      </c>
      <c r="H73" s="1599" t="str">
        <f>Bilanouverture!G78</f>
        <v>Etat autres impôt et taxes dont douanes</v>
      </c>
      <c r="I73" s="1599">
        <f>Bilanouverture!H78</f>
        <v>0</v>
      </c>
      <c r="J73" s="1597">
        <f>Bilancloture!H78</f>
        <v>0</v>
      </c>
      <c r="K73" s="1600">
        <f t="shared" si="4"/>
        <v>0</v>
      </c>
      <c r="L73" s="1601">
        <f t="shared" si="5"/>
        <v>0</v>
      </c>
    </row>
    <row r="74" spans="1:12">
      <c r="A74" s="1598">
        <f>Bilanouverture!A80</f>
        <v>4613</v>
      </c>
      <c r="B74" s="1598" t="str">
        <f>Bilanouverture!B80</f>
        <v>Associés, Actionnaires, capital souscrit appelé non versé</v>
      </c>
      <c r="C74" s="1598">
        <f>Bilanouverture!E80</f>
        <v>0</v>
      </c>
      <c r="D74" s="1590">
        <f>Bilancloture!E80</f>
        <v>0</v>
      </c>
      <c r="E74" s="1600">
        <f t="shared" si="6"/>
        <v>0</v>
      </c>
      <c r="F74" s="1601">
        <f t="shared" si="7"/>
        <v>0</v>
      </c>
      <c r="G74" s="1599">
        <f>Bilanouverture!F79</f>
        <v>443</v>
      </c>
      <c r="H74" s="1599" t="str">
        <f>Bilanouverture!G79</f>
        <v>Tva due</v>
      </c>
      <c r="I74" s="1599">
        <f>Bilanouverture!H79</f>
        <v>0</v>
      </c>
      <c r="J74" s="1597">
        <f>Bilancloture!H79</f>
        <v>49319.413502109703</v>
      </c>
      <c r="K74" s="1600">
        <f t="shared" si="4"/>
        <v>0</v>
      </c>
      <c r="L74" s="1601">
        <f t="shared" si="5"/>
        <v>49319.413502109703</v>
      </c>
    </row>
    <row r="75" spans="1:12">
      <c r="A75" s="1598">
        <f>Bilanouverture!A81</f>
        <v>4615</v>
      </c>
      <c r="B75" s="1598" t="str">
        <f>Bilanouverture!B81</f>
        <v>Associés, versements reçus sur augmentation de capital</v>
      </c>
      <c r="C75" s="1598">
        <f>Bilanouverture!E81</f>
        <v>0</v>
      </c>
      <c r="D75" s="1590">
        <f>Bilancloture!E81</f>
        <v>0</v>
      </c>
      <c r="E75" s="1600">
        <f t="shared" si="6"/>
        <v>0</v>
      </c>
      <c r="F75" s="1601">
        <f t="shared" si="7"/>
        <v>0</v>
      </c>
      <c r="G75" s="1599">
        <f>Bilanouverture!F80</f>
        <v>4435</v>
      </c>
      <c r="H75" s="1599" t="str">
        <f>Bilanouverture!G80</f>
        <v>Etat tva à établir</v>
      </c>
      <c r="I75" s="1599">
        <f>Bilanouverture!H80</f>
        <v>0</v>
      </c>
      <c r="J75" s="1597">
        <f>Bilancloture!H80</f>
        <v>0</v>
      </c>
      <c r="K75" s="1600">
        <f t="shared" si="4"/>
        <v>0</v>
      </c>
      <c r="L75" s="1601">
        <f t="shared" si="5"/>
        <v>0</v>
      </c>
    </row>
    <row r="76" spans="1:12">
      <c r="A76" s="1598">
        <f>Bilanouverture!A82</f>
        <v>4618</v>
      </c>
      <c r="B76" s="1598" t="str">
        <f>Bilanouverture!B82</f>
        <v>Associés, autres apports</v>
      </c>
      <c r="C76" s="1598">
        <f>Bilanouverture!E82</f>
        <v>0</v>
      </c>
      <c r="D76" s="1590">
        <f>Bilancloture!E82</f>
        <v>0</v>
      </c>
      <c r="E76" s="1600">
        <f t="shared" si="6"/>
        <v>0</v>
      </c>
      <c r="F76" s="1601">
        <f t="shared" si="7"/>
        <v>0</v>
      </c>
      <c r="G76" s="1599">
        <f>Bilanouverture!F81</f>
        <v>446</v>
      </c>
      <c r="H76" s="1599" t="str">
        <f>Bilanouverture!G81</f>
        <v>Autres taxes sur CA</v>
      </c>
      <c r="I76" s="1599">
        <f>Bilanouverture!H81</f>
        <v>0</v>
      </c>
      <c r="J76" s="1597">
        <f>Bilancloture!H81</f>
        <v>0</v>
      </c>
      <c r="K76" s="1600">
        <f t="shared" si="4"/>
        <v>0</v>
      </c>
      <c r="L76" s="1601">
        <f t="shared" si="5"/>
        <v>0</v>
      </c>
    </row>
    <row r="77" spans="1:12">
      <c r="A77" s="1598">
        <f>Bilanouverture!A83</f>
        <v>4620</v>
      </c>
      <c r="B77" s="1598" t="str">
        <f>Bilanouverture!B83</f>
        <v>Associés, compte courant</v>
      </c>
      <c r="C77" s="1598">
        <f>Bilanouverture!E83</f>
        <v>0</v>
      </c>
      <c r="D77" s="1590">
        <f>Bilancloture!E83</f>
        <v>0</v>
      </c>
      <c r="E77" s="1600">
        <f t="shared" si="6"/>
        <v>0</v>
      </c>
      <c r="F77" s="1601">
        <f t="shared" si="7"/>
        <v>0</v>
      </c>
      <c r="G77" s="1599">
        <f>Bilanouverture!F82</f>
        <v>447</v>
      </c>
      <c r="H77" s="1599" t="str">
        <f>Bilanouverture!G82</f>
        <v>Etat impôt et autres retenues</v>
      </c>
      <c r="I77" s="1599">
        <f>Bilanouverture!H82</f>
        <v>0</v>
      </c>
      <c r="J77" s="1597">
        <f>Bilancloture!H82</f>
        <v>0</v>
      </c>
      <c r="K77" s="1600">
        <f t="shared" si="4"/>
        <v>0</v>
      </c>
      <c r="L77" s="1601">
        <f t="shared" si="5"/>
        <v>0</v>
      </c>
    </row>
    <row r="78" spans="1:12">
      <c r="A78" s="1598" t="str">
        <f>Bilanouverture!A84</f>
        <v>4449-476</v>
      </c>
      <c r="B78" s="1598" t="str">
        <f>Bilanouverture!B84</f>
        <v>Autres créances</v>
      </c>
      <c r="C78" s="1598">
        <f>Bilanouverture!E84</f>
        <v>0</v>
      </c>
      <c r="D78" s="1590">
        <f>Bilancloture!E84</f>
        <v>0</v>
      </c>
      <c r="E78" s="1600">
        <f t="shared" si="6"/>
        <v>0</v>
      </c>
      <c r="F78" s="1601">
        <f t="shared" si="7"/>
        <v>0</v>
      </c>
      <c r="G78" s="1599">
        <f>Bilanouverture!F83</f>
        <v>4486</v>
      </c>
      <c r="H78" s="1599" t="str">
        <f>Bilanouverture!G83</f>
        <v>Etat charges à payer</v>
      </c>
      <c r="I78" s="1599">
        <f>Bilanouverture!H83</f>
        <v>0</v>
      </c>
      <c r="J78" s="1597">
        <f>Bilancloture!H83</f>
        <v>0</v>
      </c>
      <c r="K78" s="1600">
        <f t="shared" si="4"/>
        <v>0</v>
      </c>
      <c r="L78" s="1601">
        <f t="shared" si="5"/>
        <v>0</v>
      </c>
    </row>
    <row r="79" spans="1:12">
      <c r="A79" s="1597" t="str">
        <f>Bilanouverture!A85</f>
        <v>Valeurs mobilières de placement</v>
      </c>
      <c r="B79" s="1597"/>
      <c r="C79" s="1599">
        <f>SUM(C80:C84)</f>
        <v>0</v>
      </c>
      <c r="D79" s="1599">
        <f>SUM(D80:D84)</f>
        <v>7000</v>
      </c>
      <c r="E79" s="1600"/>
      <c r="F79" s="1600"/>
      <c r="G79" s="1599">
        <f>Bilanouverture!F84</f>
        <v>185</v>
      </c>
      <c r="H79" s="1599" t="str">
        <f>Bilanouverture!G84</f>
        <v>Dettes liés à des participations</v>
      </c>
      <c r="I79" s="1599">
        <f>Bilanouverture!H84</f>
        <v>0</v>
      </c>
      <c r="J79" s="1597">
        <f>Bilancloture!H84</f>
        <v>0</v>
      </c>
      <c r="K79" s="1600">
        <f t="shared" si="4"/>
        <v>0</v>
      </c>
      <c r="L79" s="1601">
        <f t="shared" si="5"/>
        <v>0</v>
      </c>
    </row>
    <row r="80" spans="1:12">
      <c r="A80" s="1598">
        <f>Bilanouverture!A86</f>
        <v>501</v>
      </c>
      <c r="B80" s="1598" t="str">
        <f>Bilanouverture!B86</f>
        <v>VMP actions</v>
      </c>
      <c r="C80" s="1598">
        <f>Bilanouverture!E86</f>
        <v>0</v>
      </c>
      <c r="D80" s="1590">
        <f>Bilancloture!E86</f>
        <v>2000</v>
      </c>
      <c r="E80" s="1600">
        <f t="shared" si="6"/>
        <v>0</v>
      </c>
      <c r="F80" s="1601">
        <f t="shared" si="7"/>
        <v>2000</v>
      </c>
      <c r="G80" s="1599">
        <f>Bilanouverture!F85</f>
        <v>4712</v>
      </c>
      <c r="H80" s="1599" t="str">
        <f>Bilanouverture!G85</f>
        <v>Créditeurs divers</v>
      </c>
      <c r="I80" s="1599">
        <f>Bilanouverture!H85</f>
        <v>0</v>
      </c>
      <c r="J80" s="1597">
        <f>Bilancloture!H85</f>
        <v>0</v>
      </c>
      <c r="K80" s="1600">
        <f t="shared" si="4"/>
        <v>0</v>
      </c>
      <c r="L80" s="1601">
        <f t="shared" si="5"/>
        <v>0</v>
      </c>
    </row>
    <row r="81" spans="1:12">
      <c r="A81" s="1598">
        <f>Bilanouverture!A87</f>
        <v>502</v>
      </c>
      <c r="B81" s="1598" t="str">
        <f>Bilanouverture!B87</f>
        <v>Actions propres</v>
      </c>
      <c r="C81" s="1598">
        <f>Bilanouverture!E87</f>
        <v>0</v>
      </c>
      <c r="D81" s="1590">
        <f>Bilancloture!E87</f>
        <v>0</v>
      </c>
      <c r="E81" s="1600">
        <f>IF(C81-D81&gt;0,C81-D81,0)</f>
        <v>0</v>
      </c>
      <c r="F81" s="1601">
        <f t="shared" si="7"/>
        <v>0</v>
      </c>
      <c r="G81" s="1599">
        <f>Bilanouverture!F86</f>
        <v>4726</v>
      </c>
      <c r="H81" s="1599" t="str">
        <f>Bilanouverture!G86</f>
        <v>Versement restant sur titres participatifs</v>
      </c>
      <c r="I81" s="1599">
        <f>Bilanouverture!H86</f>
        <v>0</v>
      </c>
      <c r="J81" s="1597">
        <f>Bilancloture!H86</f>
        <v>0</v>
      </c>
      <c r="K81" s="1600">
        <f t="shared" si="4"/>
        <v>0</v>
      </c>
      <c r="L81" s="1601">
        <f t="shared" si="5"/>
        <v>0</v>
      </c>
    </row>
    <row r="82" spans="1:12">
      <c r="A82" s="1598">
        <f>Bilanouverture!A88</f>
        <v>506</v>
      </c>
      <c r="B82" s="1598" t="str">
        <f>Bilanouverture!B88</f>
        <v xml:space="preserve">VMP Obligations </v>
      </c>
      <c r="C82" s="1598">
        <f>Bilanouverture!E88</f>
        <v>0</v>
      </c>
      <c r="D82" s="1590">
        <f>Bilancloture!E88</f>
        <v>5000</v>
      </c>
      <c r="E82" s="1600">
        <f t="shared" si="6"/>
        <v>0</v>
      </c>
      <c r="F82" s="1601">
        <f t="shared" si="7"/>
        <v>5000</v>
      </c>
      <c r="G82" s="1599">
        <f>Bilanouverture!F87</f>
        <v>4727</v>
      </c>
      <c r="H82" s="1599" t="str">
        <f>Bilanouverture!G87</f>
        <v>Versement restant sur titres immobilisés</v>
      </c>
      <c r="I82" s="1599">
        <f>Bilanouverture!H87</f>
        <v>0</v>
      </c>
      <c r="J82" s="1597">
        <f>Bilancloture!H87</f>
        <v>0</v>
      </c>
      <c r="K82" s="1600">
        <f t="shared" si="4"/>
        <v>0</v>
      </c>
      <c r="L82" s="1601">
        <f t="shared" si="5"/>
        <v>0</v>
      </c>
    </row>
    <row r="83" spans="1:12">
      <c r="A83" s="1598">
        <f>Bilanouverture!A89</f>
        <v>507</v>
      </c>
      <c r="B83" s="1598" t="str">
        <f>Bilanouverture!B89</f>
        <v>Bons du Trésor et bons de caisse à CT</v>
      </c>
      <c r="C83" s="1598">
        <f>Bilanouverture!E89</f>
        <v>0</v>
      </c>
      <c r="D83" s="1590">
        <f>Bilancloture!E89</f>
        <v>0</v>
      </c>
      <c r="E83" s="1600">
        <f t="shared" si="6"/>
        <v>0</v>
      </c>
      <c r="F83" s="1601">
        <f t="shared" si="7"/>
        <v>0</v>
      </c>
      <c r="G83" s="1599">
        <f>Bilanouverture!F88</f>
        <v>4726</v>
      </c>
      <c r="H83" s="1599" t="str">
        <f>Bilanouverture!G88</f>
        <v>Versement restant sur titres VMP</v>
      </c>
      <c r="I83" s="1599">
        <f>Bilanouverture!H88</f>
        <v>0</v>
      </c>
      <c r="J83" s="1597">
        <f>Bilancloture!H88</f>
        <v>0</v>
      </c>
      <c r="K83" s="1600">
        <f t="shared" si="4"/>
        <v>0</v>
      </c>
      <c r="L83" s="1601">
        <f t="shared" si="5"/>
        <v>0</v>
      </c>
    </row>
    <row r="84" spans="1:12">
      <c r="A84" s="1598">
        <f>Bilanouverture!A90</f>
        <v>508</v>
      </c>
      <c r="B84" s="1598" t="str">
        <f>Bilanouverture!B90</f>
        <v>Autres VMP et créances assimilées</v>
      </c>
      <c r="C84" s="1598">
        <f>Bilanouverture!E90</f>
        <v>0</v>
      </c>
      <c r="D84" s="1590">
        <f>Bilancloture!E90</f>
        <v>0</v>
      </c>
      <c r="E84" s="1600">
        <f t="shared" si="6"/>
        <v>0</v>
      </c>
      <c r="F84" s="1601">
        <f t="shared" si="7"/>
        <v>0</v>
      </c>
      <c r="G84" s="1599">
        <f>Bilanouverture!F89</f>
        <v>499</v>
      </c>
      <c r="H84" s="1599" t="str">
        <f>Bilanouverture!G89</f>
        <v>Risques provisionnés exploitation et Hao</v>
      </c>
      <c r="I84" s="1599">
        <f>Bilanouverture!H89</f>
        <v>0</v>
      </c>
      <c r="J84" s="1597">
        <f>Bilancloture!H89</f>
        <v>0</v>
      </c>
      <c r="K84" s="1600">
        <f t="shared" si="4"/>
        <v>0</v>
      </c>
      <c r="L84" s="1601">
        <f t="shared" si="5"/>
        <v>0</v>
      </c>
    </row>
    <row r="85" spans="1:12">
      <c r="A85" s="1597" t="str">
        <f>Bilanouverture!A91</f>
        <v>Disponibilités</v>
      </c>
      <c r="B85" s="1599"/>
      <c r="C85" s="1599">
        <f>SUM(C86:C93)</f>
        <v>0</v>
      </c>
      <c r="D85" s="1599">
        <f>SUM(D86:D93)</f>
        <v>-1583795</v>
      </c>
      <c r="E85" s="1600"/>
      <c r="F85" s="1600"/>
      <c r="G85" s="1599">
        <f>Bilanouverture!F90</f>
        <v>599</v>
      </c>
      <c r="H85" s="1599" t="str">
        <f>Bilanouverture!G90</f>
        <v>Risques provisionnés à caractère financier</v>
      </c>
      <c r="I85" s="1599">
        <f>Bilanouverture!H90</f>
        <v>0</v>
      </c>
      <c r="J85" s="1597">
        <f>Bilancloture!H90</f>
        <v>0</v>
      </c>
      <c r="K85" s="1600">
        <f t="shared" si="4"/>
        <v>0</v>
      </c>
      <c r="L85" s="1601">
        <f t="shared" si="5"/>
        <v>0</v>
      </c>
    </row>
    <row r="86" spans="1:12">
      <c r="A86" s="1598">
        <f>Bilanouverture!A92</f>
        <v>520</v>
      </c>
      <c r="B86" s="1598" t="str">
        <f>Bilanouverture!B92</f>
        <v>Banques cpte en monnaie nationale</v>
      </c>
      <c r="C86" s="1598">
        <f>Bilanouverture!E92</f>
        <v>0</v>
      </c>
      <c r="D86" s="1590">
        <f>Bilancloture!E92</f>
        <v>-1600075</v>
      </c>
      <c r="E86" s="1600">
        <f t="shared" si="6"/>
        <v>1600075</v>
      </c>
      <c r="F86" s="1601">
        <f t="shared" si="7"/>
        <v>0</v>
      </c>
      <c r="G86" s="1599">
        <f>Bilanouverture!F91</f>
        <v>0</v>
      </c>
      <c r="H86" s="1624" t="str">
        <f>Bilanouverture!G91</f>
        <v>Trésorerie passive</v>
      </c>
      <c r="I86" s="1605">
        <f>SUM(I87:I94)</f>
        <v>0</v>
      </c>
      <c r="J86" s="1605">
        <f>SUM(J87:J94)</f>
        <v>12100</v>
      </c>
      <c r="K86" s="1600"/>
      <c r="L86" s="1600"/>
    </row>
    <row r="87" spans="1:12">
      <c r="A87" s="1598">
        <f>Bilanouverture!A93</f>
        <v>524</v>
      </c>
      <c r="B87" s="1598" t="str">
        <f>Bilanouverture!B93</f>
        <v>Banques hors Zone Franc</v>
      </c>
      <c r="C87" s="1598">
        <f>Bilanouverture!E93</f>
        <v>0</v>
      </c>
      <c r="D87" s="1590">
        <f>Bilancloture!E93</f>
        <v>0</v>
      </c>
      <c r="E87" s="1600">
        <f t="shared" si="6"/>
        <v>0</v>
      </c>
      <c r="F87" s="1601">
        <f t="shared" si="7"/>
        <v>0</v>
      </c>
      <c r="G87" s="1599">
        <f>Bilanouverture!F92</f>
        <v>561</v>
      </c>
      <c r="H87" s="1599" t="str">
        <f>Bilanouverture!G92</f>
        <v>Banques et crédits d'escompte</v>
      </c>
      <c r="I87" s="1599">
        <f>Bilanouverture!H92</f>
        <v>0</v>
      </c>
      <c r="J87" s="1597">
        <f>Bilancloture!H92</f>
        <v>0</v>
      </c>
      <c r="K87" s="1600">
        <f t="shared" si="4"/>
        <v>0</v>
      </c>
      <c r="L87" s="1601">
        <f t="shared" si="5"/>
        <v>0</v>
      </c>
    </row>
    <row r="88" spans="1:12">
      <c r="A88" s="1598">
        <f>Bilanouverture!A94</f>
        <v>545</v>
      </c>
      <c r="B88" s="1598" t="str">
        <f>Bilanouverture!B94</f>
        <v>Avoirs or, autres. métaux précieux</v>
      </c>
      <c r="C88" s="1598">
        <f>Bilanouverture!E94</f>
        <v>0</v>
      </c>
      <c r="D88" s="1590">
        <f>Bilancloture!E94</f>
        <v>0</v>
      </c>
      <c r="E88" s="1600">
        <f t="shared" si="6"/>
        <v>0</v>
      </c>
      <c r="F88" s="1601">
        <f t="shared" si="7"/>
        <v>0</v>
      </c>
      <c r="G88" s="1599">
        <f>Bilanouverture!F93</f>
        <v>564</v>
      </c>
      <c r="H88" s="1599" t="str">
        <f>Bilanouverture!G93</f>
        <v>Escompte de concours campagne agricole</v>
      </c>
      <c r="I88" s="1599">
        <f>Bilanouverture!H93</f>
        <v>0</v>
      </c>
      <c r="J88" s="1597">
        <f>Bilancloture!H93</f>
        <v>0</v>
      </c>
      <c r="K88" s="1600">
        <f t="shared" si="4"/>
        <v>0</v>
      </c>
      <c r="L88" s="1601">
        <f t="shared" si="5"/>
        <v>0</v>
      </c>
    </row>
    <row r="89" spans="1:12">
      <c r="A89" s="1598">
        <f>Bilanouverture!A95</f>
        <v>531</v>
      </c>
      <c r="B89" s="1598" t="str">
        <f>Bilanouverture!B95</f>
        <v>Compte postal</v>
      </c>
      <c r="C89" s="1598">
        <f>Bilanouverture!E95</f>
        <v>0</v>
      </c>
      <c r="D89" s="1590">
        <f>Bilancloture!E95</f>
        <v>0</v>
      </c>
      <c r="E89" s="1600">
        <f t="shared" si="6"/>
        <v>0</v>
      </c>
      <c r="F89" s="1601">
        <f t="shared" si="7"/>
        <v>0</v>
      </c>
      <c r="G89" s="1599">
        <f>Bilanouverture!F94</f>
        <v>565</v>
      </c>
      <c r="H89" s="1599" t="str">
        <f>Bilanouverture!G94</f>
        <v>Escompte de crédit pour le commerce</v>
      </c>
      <c r="I89" s="1599">
        <f>Bilanouverture!H94</f>
        <v>0</v>
      </c>
      <c r="J89" s="1597">
        <f>Bilancloture!H94</f>
        <v>0</v>
      </c>
      <c r="K89" s="1600">
        <f t="shared" si="4"/>
        <v>0</v>
      </c>
      <c r="L89" s="1601">
        <f t="shared" si="5"/>
        <v>0</v>
      </c>
    </row>
    <row r="90" spans="1:12">
      <c r="A90" s="1598">
        <f>Bilanouverture!A96</f>
        <v>570</v>
      </c>
      <c r="B90" s="1598" t="str">
        <f>Bilanouverture!B96</f>
        <v>Caisses</v>
      </c>
      <c r="C90" s="1598">
        <f>Bilanouverture!E96</f>
        <v>0</v>
      </c>
      <c r="D90" s="1590">
        <f>Bilancloture!E96</f>
        <v>-220</v>
      </c>
      <c r="E90" s="1600">
        <f t="shared" si="6"/>
        <v>220</v>
      </c>
      <c r="F90" s="1601">
        <f t="shared" si="7"/>
        <v>0</v>
      </c>
      <c r="G90" s="1599">
        <f>Bilanouverture!F95</f>
        <v>566</v>
      </c>
      <c r="H90" s="1599" t="str">
        <f>Bilanouverture!G95</f>
        <v>Intérêt couru sur crédit de trésorerie</v>
      </c>
      <c r="I90" s="1599">
        <f>Bilanouverture!H95</f>
        <v>0</v>
      </c>
      <c r="J90" s="1597">
        <f>Bilancloture!H95</f>
        <v>0</v>
      </c>
      <c r="K90" s="1600">
        <f t="shared" si="4"/>
        <v>0</v>
      </c>
      <c r="L90" s="1601">
        <f t="shared" si="5"/>
        <v>0</v>
      </c>
    </row>
    <row r="91" spans="1:12">
      <c r="A91" s="1598">
        <f>Bilanouverture!A97</f>
        <v>476</v>
      </c>
      <c r="B91" s="1598" t="str">
        <f>Bilanouverture!B97</f>
        <v>Actif de régulation (Charge payée d'avance, produit à recevoir)</v>
      </c>
      <c r="C91" s="1598">
        <f>Bilanouverture!E97</f>
        <v>0</v>
      </c>
      <c r="D91" s="1590">
        <f>Bilancloture!E97</f>
        <v>16500</v>
      </c>
      <c r="E91" s="1600">
        <f t="shared" si="6"/>
        <v>0</v>
      </c>
      <c r="F91" s="1601">
        <f t="shared" si="7"/>
        <v>16500</v>
      </c>
      <c r="G91" s="1599">
        <f>Bilanouverture!F96</f>
        <v>52</v>
      </c>
      <c r="H91" s="1599" t="str">
        <f>Bilanouverture!G96</f>
        <v>Banques, découverts solde céditeur</v>
      </c>
      <c r="I91" s="1599">
        <f>Bilanouverture!H96</f>
        <v>0</v>
      </c>
      <c r="J91" s="1597">
        <f>Bilancloture!H96</f>
        <v>0</v>
      </c>
      <c r="K91" s="1600">
        <f t="shared" si="4"/>
        <v>0</v>
      </c>
      <c r="L91" s="1601">
        <f t="shared" si="5"/>
        <v>0</v>
      </c>
    </row>
    <row r="92" spans="1:12">
      <c r="A92" s="1598">
        <f>Bilanouverture!A98</f>
        <v>202</v>
      </c>
      <c r="B92" s="1598" t="str">
        <f>Bilanouverture!B98</f>
        <v>Charges étaler sur +sieurs exercices</v>
      </c>
      <c r="C92" s="1598">
        <f>Bilanouverture!E98</f>
        <v>0</v>
      </c>
      <c r="D92" s="1590">
        <f>Bilancloture!E98</f>
        <v>0</v>
      </c>
      <c r="E92" s="1600">
        <f t="shared" si="6"/>
        <v>0</v>
      </c>
      <c r="F92" s="1601">
        <f t="shared" si="7"/>
        <v>0</v>
      </c>
      <c r="G92" s="1599">
        <f>Bilanouverture!F97</f>
        <v>0</v>
      </c>
      <c r="H92" s="1599">
        <f>Bilanouverture!G97</f>
        <v>0</v>
      </c>
      <c r="I92" s="1599"/>
      <c r="J92" s="1597">
        <f>Bilancloture!H97</f>
        <v>0</v>
      </c>
      <c r="K92" s="1600">
        <f t="shared" si="4"/>
        <v>0</v>
      </c>
      <c r="L92" s="1601">
        <f t="shared" si="5"/>
        <v>0</v>
      </c>
    </row>
    <row r="93" spans="1:12">
      <c r="A93" s="1598">
        <f>Bilanouverture!A99</f>
        <v>478</v>
      </c>
      <c r="B93" s="1598" t="str">
        <f>Bilanouverture!B99</f>
        <v>Ecart de convertion d'actif</v>
      </c>
      <c r="C93" s="1598">
        <f>Bilanouverture!E99</f>
        <v>0</v>
      </c>
      <c r="D93" s="1590">
        <f>Bilancloture!E99</f>
        <v>0</v>
      </c>
      <c r="E93" s="1600">
        <f>IF(C93-D93&gt;0,C93-D93,0)</f>
        <v>0</v>
      </c>
      <c r="F93" s="1601">
        <f t="shared" si="7"/>
        <v>0</v>
      </c>
      <c r="G93" s="1599">
        <f>Bilanouverture!F98</f>
        <v>477</v>
      </c>
      <c r="H93" s="1599" t="str">
        <f>Bilanouverture!G98</f>
        <v>Passif de régulation , Charge à payer, Produits payés d'avance</v>
      </c>
      <c r="I93" s="1599">
        <f>Bilanouverture!H98</f>
        <v>0</v>
      </c>
      <c r="J93" s="1597">
        <f>Bilancloture!H98</f>
        <v>12100</v>
      </c>
      <c r="K93" s="1600">
        <f t="shared" si="4"/>
        <v>0</v>
      </c>
      <c r="L93" s="1601">
        <f t="shared" si="5"/>
        <v>12100</v>
      </c>
    </row>
    <row r="94" spans="1:12">
      <c r="A94" s="1590"/>
      <c r="B94" s="1590"/>
      <c r="C94" s="1590"/>
      <c r="D94" s="1590"/>
      <c r="E94" s="1600">
        <f>IF(C94-D94&gt;0,C94-D94,0)</f>
        <v>0</v>
      </c>
      <c r="F94" s="1601">
        <f>IF(C94-D94&lt;0,D94-C94,0)</f>
        <v>0</v>
      </c>
      <c r="G94" s="1599">
        <f>Bilanouverture!F99</f>
        <v>479</v>
      </c>
      <c r="H94" s="1599" t="str">
        <f>Bilanouverture!G99</f>
        <v>Ecart de convertion de passif</v>
      </c>
      <c r="I94" s="1599">
        <f>Bilanouverture!H99</f>
        <v>0</v>
      </c>
      <c r="J94" s="1597">
        <f>Bilancloture!H99</f>
        <v>0</v>
      </c>
      <c r="K94" s="1600">
        <f t="shared" si="4"/>
        <v>0</v>
      </c>
      <c r="L94" s="1601">
        <f t="shared" si="5"/>
        <v>0</v>
      </c>
    </row>
    <row r="95" spans="1:12">
      <c r="A95" s="1621"/>
      <c r="B95" s="1622" t="str">
        <f>Bilanouverture!B101</f>
        <v>TOTAL GENERAL (I + II)</v>
      </c>
      <c r="C95" s="1623">
        <f>SUM(C3,C18,C45,C53,C60,C79,C85)</f>
        <v>0</v>
      </c>
      <c r="D95" s="1623">
        <f>SUM(D3,D18,D45,D53,D60,D79,D85)</f>
        <v>288423</v>
      </c>
      <c r="E95" s="1623">
        <f>SUM(E4:E94)</f>
        <v>1646295</v>
      </c>
      <c r="F95" s="1623">
        <f>SUM(F4:F94)</f>
        <v>1934718</v>
      </c>
      <c r="G95" s="1621"/>
      <c r="H95" s="1621" t="str">
        <f>Bilanouverture!G101</f>
        <v>TOTAL GENERAL (I + II + III)</v>
      </c>
      <c r="I95" s="1623">
        <f>SUM(I3,I11,I17,I24,I27,I36,I44,I54,I65,I86)</f>
        <v>0</v>
      </c>
      <c r="J95" s="1623">
        <f>SUM(J3,J11,J17,J24,J27,J36,J44,J54,J65,J86)</f>
        <v>196779.4135021097</v>
      </c>
      <c r="K95" s="1623">
        <f>SUM(K4:K94)</f>
        <v>599100</v>
      </c>
      <c r="L95" s="1623">
        <f>SUM(L4:L94)</f>
        <v>795879.4135021097</v>
      </c>
    </row>
    <row r="96" spans="1:12" ht="12" thickBot="1"/>
    <row r="97" spans="1:12" ht="12.75">
      <c r="A97" s="1620" t="s">
        <v>1676</v>
      </c>
      <c r="B97" s="1609"/>
      <c r="C97" s="1610"/>
      <c r="D97" s="1610"/>
      <c r="E97" s="1610"/>
      <c r="F97" s="1610"/>
      <c r="G97" s="1610"/>
      <c r="H97" s="1610"/>
      <c r="I97" s="1609"/>
      <c r="J97" s="1609"/>
      <c r="K97" s="1609"/>
      <c r="L97" s="1611"/>
    </row>
    <row r="98" spans="1:12">
      <c r="A98" s="1612"/>
      <c r="B98" s="1607" t="s">
        <v>1357</v>
      </c>
      <c r="C98" s="1601" t="s">
        <v>1677</v>
      </c>
      <c r="D98" s="1606"/>
      <c r="E98" s="1600" t="s">
        <v>1678</v>
      </c>
      <c r="F98" s="1606"/>
      <c r="G98" s="1606"/>
      <c r="H98" s="1600" t="s">
        <v>1679</v>
      </c>
      <c r="I98" s="1607"/>
      <c r="J98" s="1601" t="s">
        <v>1680</v>
      </c>
      <c r="K98" s="1607"/>
      <c r="L98" s="1613"/>
    </row>
    <row r="99" spans="1:12">
      <c r="A99" s="1614" t="s">
        <v>1681</v>
      </c>
      <c r="B99" s="1607"/>
      <c r="C99" s="1601">
        <f>F95</f>
        <v>1934718</v>
      </c>
      <c r="D99" s="1606"/>
      <c r="E99" s="1600">
        <f>K95</f>
        <v>599100</v>
      </c>
      <c r="F99" s="1606"/>
      <c r="G99" s="1606"/>
      <c r="H99" s="1600">
        <f>E95</f>
        <v>1646295</v>
      </c>
      <c r="I99" s="1607"/>
      <c r="J99" s="1601">
        <f>L95</f>
        <v>795879.4135021097</v>
      </c>
      <c r="K99" s="1607"/>
      <c r="L99" s="1615">
        <f>SUM(C99+E99)-SUM(H99+J99)</f>
        <v>91643.586497890297</v>
      </c>
    </row>
    <row r="100" spans="1:12" ht="13.5" thickBot="1">
      <c r="A100" s="1616" t="str">
        <f>IF(L100=0," L'analyse des variations des actifs du bilan d'ouverture  au bilan de clôture, confirme bien la  concordance entre bilans et résultat,résultat ci-après","Erreur de concordance entre bilan et résultat, un écart de 0&lt;x&gt;2franc est négligeable du fait de vos arrondis, si plus vérifiez vos écritures")</f>
        <v xml:space="preserve"> L'analyse des variations des actifs du bilan d'ouverture  au bilan de clôture, confirme bien la  concordance entre bilans et résultat,résultat ci-après</v>
      </c>
      <c r="B100" s="1617"/>
      <c r="C100" s="1618"/>
      <c r="D100" s="1618"/>
      <c r="E100" s="1618"/>
      <c r="F100" s="1618"/>
      <c r="G100" s="1618"/>
      <c r="H100" s="1618"/>
      <c r="I100" s="1617"/>
      <c r="J100" s="1617"/>
      <c r="K100" s="1617"/>
      <c r="L100" s="1619">
        <f>Résultat!C127-Concordance!L99</f>
        <v>0</v>
      </c>
    </row>
    <row r="101" spans="1:12">
      <c r="A101" s="1589"/>
      <c r="B101" s="1608"/>
      <c r="I101" s="1608"/>
      <c r="J101" s="1608"/>
      <c r="K101" s="1608"/>
      <c r="L101" s="1608"/>
    </row>
    <row r="102" spans="1:12">
      <c r="A102" s="1627" t="s">
        <v>1683</v>
      </c>
    </row>
    <row r="103" spans="1:12">
      <c r="B103" s="1626" t="str">
        <f>B3</f>
        <v>Immobilisations incorporelles</v>
      </c>
      <c r="C103" s="1626">
        <f t="shared" ref="C103" si="8">C3</f>
        <v>0</v>
      </c>
      <c r="D103" s="1626">
        <f t="shared" ref="D103" si="9">D3</f>
        <v>57000</v>
      </c>
      <c r="E103" s="1626"/>
      <c r="H103" s="1589"/>
    </row>
    <row r="104" spans="1:12">
      <c r="B104" s="1626" t="str">
        <f>A18</f>
        <v>Immobilisations Corporelles</v>
      </c>
      <c r="C104" s="1626">
        <f>C18</f>
        <v>0</v>
      </c>
      <c r="D104" s="1626">
        <f>D18</f>
        <v>518500</v>
      </c>
      <c r="E104" s="1626"/>
      <c r="H104" s="1589"/>
    </row>
    <row r="105" spans="1:12">
      <c r="B105" s="1626" t="str">
        <f>A45</f>
        <v>Immobilisations financières</v>
      </c>
      <c r="C105" s="1626">
        <f>C45</f>
        <v>0</v>
      </c>
      <c r="D105" s="1626">
        <f>D45</f>
        <v>99600</v>
      </c>
      <c r="E105" s="1626"/>
      <c r="H105" s="1589"/>
    </row>
    <row r="106" spans="1:12">
      <c r="B106" s="1626" t="str">
        <f>A53</f>
        <v>Stocks ,en-cours, marchandises</v>
      </c>
      <c r="C106" s="1626">
        <f>C53</f>
        <v>0</v>
      </c>
      <c r="D106" s="1626">
        <f>D53</f>
        <v>-39000</v>
      </c>
      <c r="E106" s="1626"/>
      <c r="H106" s="1589"/>
    </row>
    <row r="107" spans="1:12">
      <c r="B107" s="1626" t="str">
        <f>A60</f>
        <v>Créances</v>
      </c>
      <c r="C107" s="1626">
        <f>C60</f>
        <v>0</v>
      </c>
      <c r="D107" s="1626">
        <f>D60</f>
        <v>1229118</v>
      </c>
      <c r="E107" s="1626"/>
      <c r="H107" s="1589"/>
    </row>
    <row r="108" spans="1:12">
      <c r="B108" s="1626" t="str">
        <f>A79</f>
        <v>Valeurs mobilières de placement</v>
      </c>
      <c r="C108" s="1626">
        <f>C79</f>
        <v>0</v>
      </c>
      <c r="D108" s="1626">
        <f>D79</f>
        <v>7000</v>
      </c>
      <c r="E108" s="1626"/>
      <c r="H108" s="1589"/>
    </row>
    <row r="109" spans="1:12">
      <c r="B109" s="1626" t="str">
        <f>A85</f>
        <v>Disponibilités</v>
      </c>
      <c r="C109" s="1626">
        <f>C85</f>
        <v>0</v>
      </c>
      <c r="D109" s="1626">
        <f>D85</f>
        <v>-1583795</v>
      </c>
      <c r="E109" s="1626"/>
      <c r="H109" s="1589"/>
    </row>
    <row r="110" spans="1:12">
      <c r="B110" s="1626" t="s">
        <v>43</v>
      </c>
      <c r="C110" s="1626">
        <f>SUM(C103:C109)</f>
        <v>0</v>
      </c>
      <c r="D110" s="1626">
        <f>SUM(D103:D109)</f>
        <v>288423</v>
      </c>
      <c r="E110" s="1626"/>
      <c r="H110" s="1589"/>
    </row>
    <row r="111" spans="1:12">
      <c r="B111" s="1626"/>
      <c r="C111" s="1626"/>
      <c r="D111" s="1626"/>
      <c r="E111" s="1626"/>
      <c r="H111" s="1589"/>
    </row>
    <row r="112" spans="1:12">
      <c r="B112" s="1626" t="str">
        <f>H3</f>
        <v>Capital social</v>
      </c>
      <c r="C112" s="1626">
        <f>I3+I11+I24+I27</f>
        <v>0</v>
      </c>
      <c r="D112" s="1626">
        <f>J3+J11+J24+J27</f>
        <v>-1400</v>
      </c>
      <c r="E112" s="1626"/>
    </row>
    <row r="113" spans="2:5">
      <c r="B113" s="1626" t="str">
        <f>H17</f>
        <v>Réserves</v>
      </c>
      <c r="C113" s="1626">
        <f>I17</f>
        <v>0</v>
      </c>
      <c r="D113" s="1626">
        <f>J17</f>
        <v>0</v>
      </c>
      <c r="E113" s="1626"/>
    </row>
    <row r="114" spans="2:5">
      <c r="B114" s="1626" t="str">
        <f>H36</f>
        <v>Dettes Fin et ressources assimilées</v>
      </c>
      <c r="C114" s="1626">
        <f>I36</f>
        <v>0</v>
      </c>
      <c r="D114" s="1626">
        <f>J36</f>
        <v>40000</v>
      </c>
      <c r="E114" s="1626"/>
    </row>
    <row r="115" spans="2:5">
      <c r="B115" s="1626" t="str">
        <f>H44</f>
        <v>Provisions financières pour risques et charges</v>
      </c>
      <c r="C115" s="1626">
        <f>I44</f>
        <v>0</v>
      </c>
      <c r="D115" s="1626">
        <f>J44</f>
        <v>0</v>
      </c>
      <c r="E115" s="1626"/>
    </row>
    <row r="116" spans="2:5">
      <c r="B116" s="1626" t="str">
        <f>H54</f>
        <v>Dettes circulantes et ressources ass HAO</v>
      </c>
      <c r="C116" s="1626">
        <f>I54</f>
        <v>0</v>
      </c>
      <c r="D116" s="1626">
        <f>J54</f>
        <v>-33240</v>
      </c>
      <c r="E116" s="1626"/>
    </row>
    <row r="117" spans="2:5">
      <c r="B117" s="1626" t="str">
        <f>H65</f>
        <v>Dettes fiscale et sociales</v>
      </c>
      <c r="C117" s="1626">
        <f>I65</f>
        <v>0</v>
      </c>
      <c r="D117" s="1626">
        <f>J65</f>
        <v>179319.4135021097</v>
      </c>
      <c r="E117" s="1626"/>
    </row>
    <row r="118" spans="2:5">
      <c r="B118" s="1626" t="str">
        <f>H86</f>
        <v>Trésorerie passive</v>
      </c>
      <c r="C118" s="1626">
        <f>I86</f>
        <v>0</v>
      </c>
      <c r="D118" s="1626">
        <f>J86</f>
        <v>12100</v>
      </c>
      <c r="E118" s="1626"/>
    </row>
    <row r="119" spans="2:5">
      <c r="B119" s="1626" t="s">
        <v>43</v>
      </c>
      <c r="C119" s="1626">
        <f>SUM(C112:C118)</f>
        <v>0</v>
      </c>
      <c r="D119" s="1626">
        <f>SUM(D112:D118)</f>
        <v>196779.4135021097</v>
      </c>
      <c r="E119" s="1626"/>
    </row>
  </sheetData>
  <mergeCells count="1">
    <mergeCell ref="A1:L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sheetPr codeName="Feuil2"/>
  <dimension ref="A1:H130"/>
  <sheetViews>
    <sheetView zoomScaleNormal="100" workbookViewId="0">
      <selection activeCell="B2" sqref="B2"/>
    </sheetView>
  </sheetViews>
  <sheetFormatPr baseColWidth="10" defaultRowHeight="14.1" customHeight="1"/>
  <cols>
    <col min="1" max="1" width="12.28515625" style="1099" customWidth="1"/>
    <col min="2" max="2" width="23.140625" style="1444" customWidth="1"/>
    <col min="3" max="3" width="17.28515625" style="1098" customWidth="1"/>
    <col min="4" max="4" width="13.42578125" style="1098" customWidth="1"/>
    <col min="5" max="5" width="16.28515625" style="1098" customWidth="1"/>
    <col min="6" max="6" width="13" style="1099" customWidth="1"/>
    <col min="7" max="7" width="27.42578125" style="1342" customWidth="1"/>
    <col min="8" max="8" width="15.85546875" style="1098" customWidth="1"/>
    <col min="9" max="9" width="11.42578125" style="1091"/>
    <col min="10" max="10" width="14.7109375" style="1091" bestFit="1" customWidth="1"/>
    <col min="11" max="16384" width="11.42578125" style="1091"/>
  </cols>
  <sheetData>
    <row r="1" spans="1:8" ht="14.1" customHeight="1">
      <c r="A1" s="1643" t="s">
        <v>179</v>
      </c>
      <c r="B1" s="1643"/>
      <c r="C1" s="1643"/>
      <c r="D1" s="1643"/>
      <c r="E1" s="1643"/>
      <c r="F1" s="1643"/>
      <c r="G1" s="1643"/>
      <c r="H1" s="1643"/>
    </row>
    <row r="2" spans="1:8" ht="14.1" customHeight="1">
      <c r="A2" s="1036"/>
      <c r="B2" s="1560"/>
      <c r="C2" s="1092"/>
      <c r="D2" s="1092"/>
      <c r="E2" s="1092"/>
      <c r="F2" s="1036"/>
      <c r="G2" s="1333"/>
      <c r="H2" s="1092"/>
    </row>
    <row r="3" spans="1:8" ht="14.1" customHeight="1">
      <c r="A3" s="1281"/>
      <c r="B3" s="1561"/>
      <c r="C3" s="1282"/>
      <c r="D3" s="1282"/>
      <c r="E3" s="1282"/>
      <c r="F3" s="1281"/>
      <c r="G3" s="1334" t="s">
        <v>1598</v>
      </c>
      <c r="H3" s="1283">
        <v>40544</v>
      </c>
    </row>
    <row r="4" spans="1:8" ht="21" customHeight="1">
      <c r="A4" s="1644" t="str">
        <f>IF(H101-E101=0,"Votre bilan est équilibré, écart ci-dessous"," Votre bilan est déséquilibré, écart ci-dessous, Veuillez le réquilibrer SVP")</f>
        <v>Votre bilan est équilibré, écart ci-dessous</v>
      </c>
      <c r="B4" s="1644"/>
      <c r="C4" s="1644"/>
      <c r="D4" s="1644"/>
      <c r="E4" s="1644"/>
      <c r="F4" s="1644"/>
      <c r="G4" s="1644"/>
      <c r="H4" s="1644"/>
    </row>
    <row r="5" spans="1:8" ht="14.1" customHeight="1">
      <c r="A5" s="1287"/>
      <c r="B5" s="1335" t="s">
        <v>5</v>
      </c>
      <c r="C5" s="1288" t="s">
        <v>6</v>
      </c>
      <c r="D5" s="1289" t="s">
        <v>180</v>
      </c>
      <c r="E5" s="1288" t="s">
        <v>7</v>
      </c>
      <c r="F5" s="1290"/>
      <c r="G5" s="1335" t="s">
        <v>8</v>
      </c>
      <c r="H5" s="1288" t="s">
        <v>7</v>
      </c>
    </row>
    <row r="6" spans="1:8" ht="14.1" customHeight="1">
      <c r="A6" s="1291"/>
      <c r="B6" s="1403" t="s">
        <v>181</v>
      </c>
      <c r="C6" s="1292"/>
      <c r="D6" s="1292"/>
      <c r="E6" s="1293">
        <f>SUM(E7,E22,E49)</f>
        <v>0</v>
      </c>
      <c r="F6" s="1294"/>
      <c r="G6" s="1295" t="s">
        <v>1667</v>
      </c>
      <c r="H6" s="1292">
        <f>SUM(H7:H13)</f>
        <v>0</v>
      </c>
    </row>
    <row r="7" spans="1:8" ht="14.1" customHeight="1">
      <c r="A7" s="1362">
        <v>210</v>
      </c>
      <c r="B7" s="1562" t="s">
        <v>490</v>
      </c>
      <c r="C7" s="1364">
        <f>SUM(C8:C21)</f>
        <v>0</v>
      </c>
      <c r="D7" s="1364">
        <f>SUM(D8:D21)</f>
        <v>0</v>
      </c>
      <c r="E7" s="1365">
        <f>SUM(E8:E21)</f>
        <v>0</v>
      </c>
      <c r="F7" s="1299">
        <f>Compte!A3</f>
        <v>101</v>
      </c>
      <c r="G7" s="1347" t="str">
        <f>Compte!B3</f>
        <v>Capital Social</v>
      </c>
      <c r="H7" s="1093"/>
    </row>
    <row r="8" spans="1:8" ht="14.1" customHeight="1">
      <c r="A8" s="1296">
        <f>Compte!A76</f>
        <v>211</v>
      </c>
      <c r="B8" s="1440" t="str">
        <f>Compte!B76</f>
        <v>Frais recherche et développement</v>
      </c>
      <c r="C8" s="1094"/>
      <c r="D8" s="1095"/>
      <c r="E8" s="1298"/>
      <c r="F8" s="1299" t="str">
        <f>Compte!A4</f>
        <v>1011</v>
      </c>
      <c r="G8" s="1347" t="str">
        <f>Compte!B4</f>
        <v>Capital souscrit, non appelé</v>
      </c>
      <c r="H8" s="1279"/>
    </row>
    <row r="9" spans="1:8" ht="14.1" customHeight="1">
      <c r="A9" s="1296">
        <f>Compte!A77</f>
        <v>2811</v>
      </c>
      <c r="B9" s="1440" t="str">
        <f>Compte!B77</f>
        <v>Amortissements. : frais R &amp;D</v>
      </c>
      <c r="C9" s="1096"/>
      <c r="D9" s="1094"/>
      <c r="E9" s="1300">
        <f>C8-D9</f>
        <v>0</v>
      </c>
      <c r="F9" s="1299">
        <f>Compte!A5</f>
        <v>1012</v>
      </c>
      <c r="G9" s="1347" t="str">
        <f>Compte!B5</f>
        <v>Capital souscrit, appelé, non versé</v>
      </c>
      <c r="H9" s="1279"/>
    </row>
    <row r="10" spans="1:8" ht="14.1" customHeight="1">
      <c r="A10" s="1296">
        <f>Compte!A78</f>
        <v>212</v>
      </c>
      <c r="B10" s="1440" t="str">
        <f>Compte!B78</f>
        <v>Brevets, licences, concessions</v>
      </c>
      <c r="C10" s="1094"/>
      <c r="D10" s="1095"/>
      <c r="E10" s="1298"/>
      <c r="F10" s="1299">
        <f>Compte!A6</f>
        <v>1013</v>
      </c>
      <c r="G10" s="1347" t="str">
        <f>Compte!B6</f>
        <v>Capital souscrit, appelé, versé, non amorti</v>
      </c>
      <c r="H10" s="1279"/>
    </row>
    <row r="11" spans="1:8" ht="14.1" customHeight="1">
      <c r="A11" s="1296">
        <f>Compte!A79</f>
        <v>2812</v>
      </c>
      <c r="B11" s="1440" t="str">
        <f>Compte!B79</f>
        <v>Amortissements. : brevets, licences</v>
      </c>
      <c r="C11" s="1096"/>
      <c r="D11" s="1094"/>
      <c r="E11" s="1300">
        <f t="shared" ref="E11" si="0">C10-D11</f>
        <v>0</v>
      </c>
      <c r="F11" s="1299">
        <f>Compte!A7</f>
        <v>1020</v>
      </c>
      <c r="G11" s="1347" t="str">
        <f>Compte!B7</f>
        <v>Capital par dotation</v>
      </c>
      <c r="H11" s="1279"/>
    </row>
    <row r="12" spans="1:8" ht="14.1" customHeight="1">
      <c r="A12" s="1296">
        <f>Compte!A80</f>
        <v>213</v>
      </c>
      <c r="B12" s="1440" t="str">
        <f>Compte!B80</f>
        <v>Logiciels &amp; marques</v>
      </c>
      <c r="C12" s="1094"/>
      <c r="D12" s="1095"/>
      <c r="E12" s="1298"/>
      <c r="F12" s="1299">
        <f>Compte!A8</f>
        <v>103</v>
      </c>
      <c r="G12" s="1347" t="str">
        <f>Compte!B8</f>
        <v>Capital personnel</v>
      </c>
      <c r="H12" s="1279"/>
    </row>
    <row r="13" spans="1:8" ht="14.1" customHeight="1">
      <c r="A13" s="1296">
        <f>Compte!A81</f>
        <v>2813</v>
      </c>
      <c r="B13" s="1440" t="str">
        <f>Compte!B81</f>
        <v>Amortissements des logiciels &amp;marques</v>
      </c>
      <c r="C13" s="1096"/>
      <c r="D13" s="1094"/>
      <c r="E13" s="1300">
        <f t="shared" ref="E13" si="1">C12-D13</f>
        <v>0</v>
      </c>
      <c r="F13" s="1299">
        <f>Compte!A9</f>
        <v>104</v>
      </c>
      <c r="G13" s="1347" t="str">
        <f>Compte!B9</f>
        <v>Compte de l'exploitant ou privée</v>
      </c>
      <c r="H13" s="1279"/>
    </row>
    <row r="14" spans="1:8" ht="14.1" customHeight="1">
      <c r="A14" s="1296">
        <f>Compte!A82</f>
        <v>215</v>
      </c>
      <c r="B14" s="1440" t="str">
        <f>Compte!B82</f>
        <v>Fonds commercial</v>
      </c>
      <c r="C14" s="1094"/>
      <c r="D14" s="1095"/>
      <c r="E14" s="1298"/>
      <c r="F14" s="1301"/>
      <c r="G14" s="1346" t="s">
        <v>1610</v>
      </c>
      <c r="H14" s="1302">
        <f>SUM(H15:H19)</f>
        <v>0</v>
      </c>
    </row>
    <row r="15" spans="1:8" ht="14.1" customHeight="1">
      <c r="A15" s="1296">
        <f>Compte!A83</f>
        <v>2815</v>
      </c>
      <c r="B15" s="1440" t="str">
        <f>Compte!B83</f>
        <v>Amortissements. du fonds commercial</v>
      </c>
      <c r="C15" s="1096"/>
      <c r="D15" s="1094"/>
      <c r="E15" s="1300">
        <f t="shared" ref="E15" si="2">C14-D15</f>
        <v>0</v>
      </c>
      <c r="F15" s="1299">
        <f>Compte!A10</f>
        <v>1051</v>
      </c>
      <c r="G15" s="1347" t="str">
        <f>Compte!B10</f>
        <v>Primes d'émission</v>
      </c>
      <c r="H15" s="1279"/>
    </row>
    <row r="16" spans="1:8" ht="14.1" customHeight="1">
      <c r="A16" s="1296">
        <f>Compte!A84</f>
        <v>216</v>
      </c>
      <c r="B16" s="1440" t="str">
        <f>Compte!B84</f>
        <v>Droit au bail</v>
      </c>
      <c r="C16" s="1094"/>
      <c r="D16" s="1095"/>
      <c r="E16" s="1298"/>
      <c r="F16" s="1299">
        <f>Compte!A11</f>
        <v>1052</v>
      </c>
      <c r="G16" s="1347" t="str">
        <f>Compte!B11</f>
        <v>Primes d'apport</v>
      </c>
      <c r="H16" s="1279"/>
    </row>
    <row r="17" spans="1:8" ht="14.1" customHeight="1">
      <c r="A17" s="1296">
        <f>Compte!A85</f>
        <v>2816</v>
      </c>
      <c r="B17" s="1440" t="str">
        <f>Compte!B85</f>
        <v>Amortissements du droit au bail</v>
      </c>
      <c r="C17" s="1096"/>
      <c r="D17" s="1094"/>
      <c r="E17" s="1300">
        <f t="shared" ref="E17" si="3">C16-D17</f>
        <v>0</v>
      </c>
      <c r="F17" s="1299">
        <f>Compte!A12</f>
        <v>1053</v>
      </c>
      <c r="G17" s="1347" t="str">
        <f>Compte!B12</f>
        <v>Primes de fusion</v>
      </c>
      <c r="H17" s="1279"/>
    </row>
    <row r="18" spans="1:8" ht="14.1" customHeight="1">
      <c r="A18" s="1296">
        <f>Compte!A86</f>
        <v>217</v>
      </c>
      <c r="B18" s="1440" t="str">
        <f>Compte!B86</f>
        <v>Investissements de création</v>
      </c>
      <c r="C18" s="1094"/>
      <c r="D18" s="1095"/>
      <c r="E18" s="1298"/>
      <c r="F18" s="1299">
        <f>Compte!A13</f>
        <v>1054</v>
      </c>
      <c r="G18" s="1347" t="str">
        <f>Compte!B13</f>
        <v>Primes de conversion</v>
      </c>
      <c r="H18" s="1279"/>
    </row>
    <row r="19" spans="1:8" ht="14.1" customHeight="1">
      <c r="A19" s="1296">
        <f>Compte!A87</f>
        <v>2817</v>
      </c>
      <c r="B19" s="1440" t="str">
        <f>Compte!B87</f>
        <v>Amont. : investissements. création</v>
      </c>
      <c r="C19" s="1096"/>
      <c r="D19" s="1094"/>
      <c r="E19" s="1300">
        <f t="shared" ref="E19" si="4">C18-D19</f>
        <v>0</v>
      </c>
      <c r="F19" s="1299">
        <f>Compte!A14</f>
        <v>1058</v>
      </c>
      <c r="G19" s="1347" t="str">
        <f>Compte!B14</f>
        <v>Autres primes</v>
      </c>
      <c r="H19" s="1279"/>
    </row>
    <row r="20" spans="1:8" ht="14.1" customHeight="1">
      <c r="A20" s="1296">
        <f>Compte!A88</f>
        <v>218</v>
      </c>
      <c r="B20" s="1440" t="str">
        <f>Compte!B88</f>
        <v>Autres droits, valeurs incorporelles.</v>
      </c>
      <c r="C20" s="1094"/>
      <c r="D20" s="1095"/>
      <c r="E20" s="1298"/>
      <c r="F20" s="1303"/>
      <c r="G20" s="1348" t="s">
        <v>492</v>
      </c>
      <c r="H20" s="1304">
        <f>SUM(H21:H26)</f>
        <v>0</v>
      </c>
    </row>
    <row r="21" spans="1:8" ht="14.1" customHeight="1">
      <c r="A21" s="1296">
        <f>Compte!A89</f>
        <v>2818</v>
      </c>
      <c r="B21" s="1440" t="str">
        <f>Compte!B89</f>
        <v>Amortissements. autres  valeurs incorporelles.</v>
      </c>
      <c r="C21" s="1096"/>
      <c r="D21" s="1094"/>
      <c r="E21" s="1300">
        <f t="shared" ref="E21" si="5">C20-D21</f>
        <v>0</v>
      </c>
      <c r="F21" s="1305">
        <f>Compte!A15</f>
        <v>111</v>
      </c>
      <c r="G21" s="1349" t="str">
        <f>Compte!B15</f>
        <v>Réserves légales</v>
      </c>
      <c r="H21" s="1093"/>
    </row>
    <row r="22" spans="1:8" ht="14.1" customHeight="1">
      <c r="A22" s="1294" t="s">
        <v>183</v>
      </c>
      <c r="B22" s="1403"/>
      <c r="C22" s="1306">
        <f>SUM(C23:C48)</f>
        <v>0</v>
      </c>
      <c r="D22" s="1306">
        <f>SUM(D23:D48)</f>
        <v>0</v>
      </c>
      <c r="E22" s="1306">
        <f t="shared" ref="E22" si="6">SUM(E23:E48)</f>
        <v>0</v>
      </c>
      <c r="F22" s="1305">
        <f>Compte!A16</f>
        <v>112</v>
      </c>
      <c r="G22" s="1349" t="str">
        <f>Compte!B16</f>
        <v>Réserves statutaires ou contractuelles</v>
      </c>
      <c r="H22" s="1093"/>
    </row>
    <row r="23" spans="1:8" ht="14.1" customHeight="1">
      <c r="A23" s="1305">
        <f>Compte!A90</f>
        <v>221</v>
      </c>
      <c r="B23" s="1418" t="str">
        <f>Compte!B90</f>
        <v>Terrains agricoles, forestiers, nu, bâtit</v>
      </c>
      <c r="C23" s="1093"/>
      <c r="D23" s="1093"/>
      <c r="E23" s="1308">
        <f>C23-D23</f>
        <v>0</v>
      </c>
      <c r="F23" s="1305">
        <f>Compte!A17</f>
        <v>113</v>
      </c>
      <c r="G23" s="1349" t="str">
        <f>Compte!B17</f>
        <v>Réserves réglementées</v>
      </c>
      <c r="H23" s="1093"/>
    </row>
    <row r="24" spans="1:8" ht="14.1" customHeight="1">
      <c r="A24" s="1305">
        <f>Compte!A91</f>
        <v>231</v>
      </c>
      <c r="B24" s="1418" t="str">
        <f>Compte!B91</f>
        <v>Bâtiments sur sol propre</v>
      </c>
      <c r="C24" s="1094"/>
      <c r="D24" s="1095"/>
      <c r="E24" s="1298"/>
      <c r="F24" s="1305">
        <f>Compte!A18</f>
        <v>1181</v>
      </c>
      <c r="G24" s="1349" t="str">
        <f>Compte!B18</f>
        <v>Réserves facultatives et diverses</v>
      </c>
      <c r="H24" s="1093"/>
    </row>
    <row r="25" spans="1:8" ht="14.1" customHeight="1">
      <c r="A25" s="1305">
        <f>Compte!A92</f>
        <v>2831</v>
      </c>
      <c r="B25" s="1418" t="str">
        <f>Compte!B92</f>
        <v>Amort. bâtim. industriels. sol propre</v>
      </c>
      <c r="C25" s="1096"/>
      <c r="D25" s="1094"/>
      <c r="E25" s="1300">
        <f>C24-D25</f>
        <v>0</v>
      </c>
      <c r="F25" s="1305">
        <f>Compte!A19</f>
        <v>121</v>
      </c>
      <c r="G25" s="1349" t="str">
        <f>Compte!B19</f>
        <v>Report à nouveau créditeur (+)</v>
      </c>
      <c r="H25" s="1093"/>
    </row>
    <row r="26" spans="1:8" ht="14.1" customHeight="1">
      <c r="A26" s="1305">
        <f>Compte!A93</f>
        <v>232</v>
      </c>
      <c r="B26" s="1418" t="str">
        <f>Compte!B93</f>
        <v>Bâtiments sur sol d'autrui</v>
      </c>
      <c r="C26" s="1094"/>
      <c r="D26" s="1095"/>
      <c r="E26" s="1298"/>
      <c r="F26" s="1305">
        <f>Compte!A20</f>
        <v>129</v>
      </c>
      <c r="G26" s="1349" t="str">
        <f>Compte!B20</f>
        <v>Report à nouveau débiteur(-)</v>
      </c>
      <c r="H26" s="1279"/>
    </row>
    <row r="27" spans="1:8" ht="14.1" customHeight="1">
      <c r="A27" s="1305">
        <f>Compte!A94</f>
        <v>2832</v>
      </c>
      <c r="B27" s="1418" t="str">
        <f>Compte!B94</f>
        <v>Amort. bâtiments. industriels. sol autrui</v>
      </c>
      <c r="C27" s="1096"/>
      <c r="D27" s="1094"/>
      <c r="E27" s="1300">
        <f t="shared" ref="E27" si="7">C26-D27</f>
        <v>0</v>
      </c>
      <c r="F27" s="1301"/>
      <c r="G27" s="1346" t="s">
        <v>1357</v>
      </c>
      <c r="H27" s="1302">
        <f>SUM(H28:H29)</f>
        <v>0</v>
      </c>
    </row>
    <row r="28" spans="1:8" ht="14.1" customHeight="1">
      <c r="A28" s="1305">
        <f>Compte!A95</f>
        <v>233</v>
      </c>
      <c r="B28" s="1418" t="str">
        <f>Compte!B95</f>
        <v>Ouvrages d'infrastructure</v>
      </c>
      <c r="C28" s="1094"/>
      <c r="D28" s="1095"/>
      <c r="E28" s="1298"/>
      <c r="F28" s="1343">
        <f>Compte!A21</f>
        <v>131</v>
      </c>
      <c r="G28" s="1350" t="str">
        <f>Compte!B21</f>
        <v>Résultat de l'exercice bénéfice/perte</v>
      </c>
      <c r="H28" s="1279"/>
    </row>
    <row r="29" spans="1:8" ht="14.1" customHeight="1">
      <c r="A29" s="1305">
        <f>Compte!A96</f>
        <v>2833</v>
      </c>
      <c r="B29" s="1418" t="str">
        <f>Compte!B96</f>
        <v>Amortissements. : ouvrages infrastructure</v>
      </c>
      <c r="C29" s="1096"/>
      <c r="D29" s="1094"/>
      <c r="E29" s="1300">
        <f t="shared" ref="E29" si="8">C28-D29</f>
        <v>0</v>
      </c>
      <c r="F29" s="1343">
        <f>Compte!A22</f>
        <v>139</v>
      </c>
      <c r="G29" s="1350" t="str">
        <f>Compte!B22</f>
        <v>Résultat en attente d'affectation</v>
      </c>
      <c r="H29" s="1279"/>
    </row>
    <row r="30" spans="1:8" ht="14.1" customHeight="1">
      <c r="A30" s="1305">
        <f>Compte!A97</f>
        <v>234</v>
      </c>
      <c r="B30" s="1418" t="str">
        <f>Compte!B97</f>
        <v>Installations techniques</v>
      </c>
      <c r="C30" s="1094"/>
      <c r="D30" s="1095"/>
      <c r="E30" s="1298"/>
      <c r="F30" s="1301"/>
      <c r="G30" s="1346" t="s">
        <v>1607</v>
      </c>
      <c r="H30" s="1302">
        <f>SUM(H31,H32)</f>
        <v>0</v>
      </c>
    </row>
    <row r="31" spans="1:8" ht="14.1" customHeight="1">
      <c r="A31" s="1305">
        <f>Compte!A98</f>
        <v>2834</v>
      </c>
      <c r="B31" s="1418" t="str">
        <f>Compte!B98</f>
        <v>Amort. : installations. techniques</v>
      </c>
      <c r="C31" s="1096"/>
      <c r="D31" s="1094"/>
      <c r="E31" s="1300">
        <f t="shared" ref="E31" si="9">C30-D31</f>
        <v>0</v>
      </c>
      <c r="F31" s="1309">
        <f>Compte!A23</f>
        <v>140</v>
      </c>
      <c r="G31" s="1351" t="str">
        <f>Compte!B23</f>
        <v>Subventions d'investissement</v>
      </c>
      <c r="H31" s="1344"/>
    </row>
    <row r="32" spans="1:8" ht="14.1" customHeight="1">
      <c r="A32" s="1305">
        <f>Compte!A99</f>
        <v>235</v>
      </c>
      <c r="B32" s="1418" t="str">
        <f>Compte!B99</f>
        <v>Aménagement de bureaux</v>
      </c>
      <c r="C32" s="1094"/>
      <c r="D32" s="1095"/>
      <c r="E32" s="1298"/>
      <c r="F32" s="1309">
        <f>Compte!A24</f>
        <v>150</v>
      </c>
      <c r="G32" s="1351" t="str">
        <f>Compte!B24</f>
        <v>Provisions réglementées et fonds assimilés</v>
      </c>
      <c r="H32" s="1344"/>
    </row>
    <row r="33" spans="1:8" ht="14.1" customHeight="1">
      <c r="A33" s="1305">
        <f>Compte!A100</f>
        <v>2835</v>
      </c>
      <c r="B33" s="1418" t="str">
        <f>Compte!B100</f>
        <v>Amortissements. : aménagement. bureaux</v>
      </c>
      <c r="C33" s="1096"/>
      <c r="D33" s="1094"/>
      <c r="E33" s="1300">
        <f t="shared" ref="E33" si="10">C32-D33</f>
        <v>0</v>
      </c>
      <c r="F33" s="1300"/>
      <c r="G33" s="1352" t="s">
        <v>184</v>
      </c>
      <c r="H33" s="1310">
        <f>SUM(H6,H14,H20,H27,H30)</f>
        <v>0</v>
      </c>
    </row>
    <row r="34" spans="1:8" ht="14.1" customHeight="1">
      <c r="A34" s="1305">
        <f>Compte!A101</f>
        <v>241</v>
      </c>
      <c r="B34" s="1418" t="str">
        <f>Compte!B101</f>
        <v>Matériel, outillage industriel et commercial</v>
      </c>
      <c r="C34" s="1094"/>
      <c r="D34" s="1095"/>
      <c r="E34" s="1298"/>
      <c r="F34" s="1311"/>
      <c r="G34" s="1353"/>
      <c r="H34" s="1312"/>
    </row>
    <row r="35" spans="1:8" ht="14.1" customHeight="1">
      <c r="A35" s="1305">
        <f>Compte!A102</f>
        <v>2841</v>
      </c>
      <c r="B35" s="1418" t="str">
        <f>Compte!B102</f>
        <v>Amort. mat-outillage industriels.</v>
      </c>
      <c r="C35" s="1096"/>
      <c r="D35" s="1094"/>
      <c r="E35" s="1300">
        <f t="shared" ref="E35" si="11">C34-D35</f>
        <v>0</v>
      </c>
      <c r="F35" s="1280"/>
      <c r="G35" s="1354"/>
      <c r="H35" s="1280"/>
    </row>
    <row r="36" spans="1:8" ht="14.1" customHeight="1">
      <c r="A36" s="1305">
        <f>Compte!A103</f>
        <v>242</v>
      </c>
      <c r="B36" s="1418" t="str">
        <f>Compte!B103</f>
        <v>Matériel et outillage agricole</v>
      </c>
      <c r="C36" s="1094"/>
      <c r="D36" s="1095"/>
      <c r="E36" s="1298"/>
      <c r="F36" s="1312"/>
      <c r="G36" s="1353"/>
      <c r="H36" s="1312"/>
    </row>
    <row r="37" spans="1:8" ht="14.1" customHeight="1">
      <c r="A37" s="1305">
        <f>Compte!A104</f>
        <v>2842</v>
      </c>
      <c r="B37" s="1418" t="str">
        <f>Compte!B104</f>
        <v>Amort. mat-outillage agricole</v>
      </c>
      <c r="C37" s="1096"/>
      <c r="D37" s="1094"/>
      <c r="E37" s="1300">
        <f t="shared" ref="E37" si="12">C36-D37</f>
        <v>0</v>
      </c>
      <c r="F37" s="1312"/>
      <c r="G37" s="1353"/>
      <c r="H37" s="1312"/>
    </row>
    <row r="38" spans="1:8" ht="14.1" customHeight="1">
      <c r="A38" s="1305">
        <f>Compte!A105</f>
        <v>243</v>
      </c>
      <c r="B38" s="1418" t="str">
        <f>Compte!B105</f>
        <v>Matériel informatique</v>
      </c>
      <c r="C38" s="1094"/>
      <c r="D38" s="1095"/>
      <c r="E38" s="1298"/>
      <c r="F38" s="1312"/>
      <c r="G38" s="1353"/>
      <c r="H38" s="1312"/>
    </row>
    <row r="39" spans="1:8" ht="14.1" customHeight="1">
      <c r="A39" s="1305">
        <f>Compte!A106</f>
        <v>2843</v>
      </c>
      <c r="B39" s="1418" t="str">
        <f>Compte!B106</f>
        <v>Amort. Matériel informatique</v>
      </c>
      <c r="C39" s="1096"/>
      <c r="D39" s="1094"/>
      <c r="E39" s="1300">
        <f t="shared" ref="E39" si="13">C38-D39</f>
        <v>0</v>
      </c>
      <c r="F39" s="1291"/>
      <c r="G39" s="1355" t="s">
        <v>1606</v>
      </c>
      <c r="H39" s="1304">
        <f>SUM(H40:H46)</f>
        <v>0</v>
      </c>
    </row>
    <row r="40" spans="1:8" ht="14.1" customHeight="1">
      <c r="A40" s="1305">
        <f>Compte!A107</f>
        <v>244</v>
      </c>
      <c r="B40" s="1418" t="str">
        <f>Compte!B107</f>
        <v>Matériel mobilier</v>
      </c>
      <c r="C40" s="1094"/>
      <c r="D40" s="1095"/>
      <c r="E40" s="1298"/>
      <c r="F40" s="1345">
        <f>Compte!A25</f>
        <v>161</v>
      </c>
      <c r="G40" s="1356" t="str">
        <f>Compte!B25</f>
        <v>Emprunts obligataires</v>
      </c>
      <c r="H40" s="1344"/>
    </row>
    <row r="41" spans="1:8" ht="14.1" customHeight="1">
      <c r="A41" s="1305">
        <f>Compte!A108</f>
        <v>2844</v>
      </c>
      <c r="B41" s="1418" t="str">
        <f>Compte!B108</f>
        <v>Amortissement mobilier</v>
      </c>
      <c r="C41" s="1096"/>
      <c r="D41" s="1094"/>
      <c r="E41" s="1300">
        <f t="shared" ref="E41" si="14">C40-D41</f>
        <v>0</v>
      </c>
      <c r="F41" s="1345">
        <f>Compte!A26</f>
        <v>162</v>
      </c>
      <c r="G41" s="1356" t="str">
        <f>Compte!B26</f>
        <v>Emprunts auprès des établissement de crédit</v>
      </c>
      <c r="H41" s="1366"/>
    </row>
    <row r="42" spans="1:8" ht="14.1" customHeight="1">
      <c r="A42" s="1305">
        <f>Compte!A109</f>
        <v>245</v>
      </c>
      <c r="B42" s="1418" t="str">
        <f>Compte!B109</f>
        <v>Matériel de transport</v>
      </c>
      <c r="C42" s="1094"/>
      <c r="D42" s="1095"/>
      <c r="E42" s="1298"/>
      <c r="F42" s="1345">
        <f>Compte!A27</f>
        <v>164</v>
      </c>
      <c r="G42" s="1356" t="str">
        <f>Compte!B27</f>
        <v>Avances et divers acomptes reçues</v>
      </c>
      <c r="H42" s="1366"/>
    </row>
    <row r="43" spans="1:8" ht="14.1" customHeight="1">
      <c r="A43" s="1305">
        <f>Compte!A110</f>
        <v>2845</v>
      </c>
      <c r="B43" s="1418" t="str">
        <f>Compte!B110</f>
        <v>Amortissement matériel transport</v>
      </c>
      <c r="C43" s="1096"/>
      <c r="D43" s="1094"/>
      <c r="E43" s="1300">
        <f t="shared" ref="E43" si="15">C42-D43</f>
        <v>0</v>
      </c>
      <c r="F43" s="1345">
        <f>Compte!A28</f>
        <v>165</v>
      </c>
      <c r="G43" s="1356" t="str">
        <f>Compte!B28</f>
        <v>Divers cautionnements reçus</v>
      </c>
      <c r="H43" s="1344"/>
    </row>
    <row r="44" spans="1:8" ht="14.1" customHeight="1">
      <c r="A44" s="1305">
        <f>Compte!A111</f>
        <v>246</v>
      </c>
      <c r="B44" s="1418" t="str">
        <f>Compte!B111</f>
        <v>Immobilisations. animales, agricoles</v>
      </c>
      <c r="C44" s="1094"/>
      <c r="D44" s="1095"/>
      <c r="E44" s="1298"/>
      <c r="F44" s="1345">
        <f>Compte!A29</f>
        <v>166</v>
      </c>
      <c r="G44" s="1356" t="str">
        <f>Compte!B29</f>
        <v>Intérêt couru sur emprunts obligataires</v>
      </c>
      <c r="H44" s="1366"/>
    </row>
    <row r="45" spans="1:8" ht="14.1" customHeight="1">
      <c r="A45" s="1305">
        <f>Compte!A112</f>
        <v>2846</v>
      </c>
      <c r="B45" s="1418" t="str">
        <f>Compte!B112</f>
        <v>Amort. : immobilisations. animales, agric.</v>
      </c>
      <c r="C45" s="1096"/>
      <c r="D45" s="1094"/>
      <c r="E45" s="1300">
        <f t="shared" ref="E45" si="16">C44-D45</f>
        <v>0</v>
      </c>
      <c r="F45" s="1345">
        <f>Compte!A30</f>
        <v>170</v>
      </c>
      <c r="G45" s="1356" t="str">
        <f>Compte!B30</f>
        <v>Dettes de crédit-bail et contrats assimilés</v>
      </c>
      <c r="H45" s="1344"/>
    </row>
    <row r="46" spans="1:8" ht="14.1" customHeight="1">
      <c r="A46" s="1305">
        <f>Compte!A113</f>
        <v>249</v>
      </c>
      <c r="B46" s="1418" t="str">
        <f>Compte!B113</f>
        <v>Autres immobilisations corporelles en cours</v>
      </c>
      <c r="C46" s="1094"/>
      <c r="D46" s="1095"/>
      <c r="E46" s="1298"/>
      <c r="F46" s="1345">
        <f>Compte!A31</f>
        <v>184</v>
      </c>
      <c r="G46" s="1356" t="str">
        <f>Compte!B31</f>
        <v>Autres dettes financières diverses</v>
      </c>
      <c r="H46" s="1366"/>
    </row>
    <row r="47" spans="1:8" ht="14.1" customHeight="1">
      <c r="A47" s="1305">
        <f>Compte!A114</f>
        <v>2849</v>
      </c>
      <c r="B47" s="1418" t="str">
        <f>Compte!B114</f>
        <v>Amortissements. : autres immobilisations corporelles en cours</v>
      </c>
      <c r="C47" s="1096"/>
      <c r="D47" s="1094"/>
      <c r="E47" s="1300">
        <f t="shared" ref="E47" si="17">C46-D47</f>
        <v>0</v>
      </c>
      <c r="F47" s="1291"/>
      <c r="G47" s="1357" t="s">
        <v>1613</v>
      </c>
      <c r="H47" s="1304">
        <f>SUM(H48:H55)</f>
        <v>0</v>
      </c>
    </row>
    <row r="48" spans="1:8" ht="14.1" customHeight="1">
      <c r="A48" s="1305">
        <f>Compte!A115</f>
        <v>250</v>
      </c>
      <c r="B48" s="1418" t="str">
        <f>Compte!B115</f>
        <v>Avances, acomptes versés sur immobilisations</v>
      </c>
      <c r="C48" s="1093"/>
      <c r="D48" s="1093"/>
      <c r="E48" s="1308">
        <f>C48-D48</f>
        <v>0</v>
      </c>
      <c r="F48" s="1299">
        <f>Compte!A32</f>
        <v>191</v>
      </c>
      <c r="G48" s="1347" t="str">
        <f>Compte!B32</f>
        <v>Provision pour litiges</v>
      </c>
      <c r="H48" s="1279"/>
    </row>
    <row r="49" spans="1:8" ht="14.1" customHeight="1">
      <c r="A49" s="1294" t="s">
        <v>185</v>
      </c>
      <c r="B49" s="1403"/>
      <c r="C49" s="1306">
        <f>SUM(C50:C56)</f>
        <v>0</v>
      </c>
      <c r="D49" s="1306">
        <f>SUM(D50:D56)</f>
        <v>0</v>
      </c>
      <c r="E49" s="1306">
        <f t="shared" ref="E49" si="18">SUM(E50:E56)</f>
        <v>0</v>
      </c>
      <c r="F49" s="1299">
        <f>Compte!A33</f>
        <v>192</v>
      </c>
      <c r="G49" s="1347" t="str">
        <f>Compte!B33</f>
        <v>Provision pour pertes  créances clients</v>
      </c>
      <c r="H49" s="1279"/>
    </row>
    <row r="50" spans="1:8" ht="14.1" customHeight="1">
      <c r="A50" s="1305">
        <f>Compte!A116</f>
        <v>260</v>
      </c>
      <c r="B50" s="1418" t="str">
        <f>Compte!B116</f>
        <v xml:space="preserve"> Participations</v>
      </c>
      <c r="C50" s="1093"/>
      <c r="D50" s="1093"/>
      <c r="E50" s="1308">
        <f>C50-D50</f>
        <v>0</v>
      </c>
      <c r="F50" s="1299">
        <f>Compte!A34</f>
        <v>194</v>
      </c>
      <c r="G50" s="1347" t="str">
        <f>Compte!B34</f>
        <v>Provision pour pertes de change</v>
      </c>
      <c r="H50" s="1279"/>
    </row>
    <row r="51" spans="1:8" ht="14.1" customHeight="1">
      <c r="A51" s="1305">
        <f>Compte!A117</f>
        <v>266</v>
      </c>
      <c r="B51" s="1418" t="str">
        <f>Compte!B117</f>
        <v xml:space="preserve"> Créances rattachées à des participations</v>
      </c>
      <c r="C51" s="1093"/>
      <c r="D51" s="1093"/>
      <c r="E51" s="1308">
        <f t="shared" ref="E51:E56" si="19">C51-D51</f>
        <v>0</v>
      </c>
      <c r="F51" s="1299">
        <f>Compte!A35</f>
        <v>195</v>
      </c>
      <c r="G51" s="1347" t="str">
        <f>Compte!B35</f>
        <v>Provision pour impôt</v>
      </c>
      <c r="H51" s="1279"/>
    </row>
    <row r="52" spans="1:8" ht="14.1" customHeight="1">
      <c r="A52" s="1305">
        <f>Compte!A118</f>
        <v>271</v>
      </c>
      <c r="B52" s="1418" t="str">
        <f>Compte!B118</f>
        <v>Titres immobilisés actions</v>
      </c>
      <c r="C52" s="1093"/>
      <c r="D52" s="1093"/>
      <c r="E52" s="1308">
        <f t="shared" si="19"/>
        <v>0</v>
      </c>
      <c r="F52" s="1299">
        <f>Compte!A36</f>
        <v>197</v>
      </c>
      <c r="G52" s="1347" t="str">
        <f>Compte!B36</f>
        <v>Provision pour charges à repartir sur plusieurs exercices</v>
      </c>
      <c r="H52" s="1279"/>
    </row>
    <row r="53" spans="1:8" ht="14.1" customHeight="1">
      <c r="A53" s="1305">
        <f>Compte!A119</f>
        <v>272</v>
      </c>
      <c r="B53" s="1418" t="str">
        <f>Compte!B119</f>
        <v>Titres immobilisés obligations</v>
      </c>
      <c r="C53" s="1093"/>
      <c r="D53" s="1093"/>
      <c r="E53" s="1308">
        <f t="shared" si="19"/>
        <v>0</v>
      </c>
      <c r="F53" s="1299">
        <f>Compte!A37</f>
        <v>1971</v>
      </c>
      <c r="G53" s="1347" t="str">
        <f>Compte!B37</f>
        <v>Provisions pour grosses réparations</v>
      </c>
      <c r="H53" s="1279"/>
    </row>
    <row r="54" spans="1:8" ht="14.1" customHeight="1">
      <c r="A54" s="1305">
        <f>Compte!A120</f>
        <v>274</v>
      </c>
      <c r="B54" s="1418" t="str">
        <f>Compte!B120</f>
        <v xml:space="preserve"> Prêts consentits par l'entreprise</v>
      </c>
      <c r="C54" s="1093"/>
      <c r="D54" s="1093"/>
      <c r="E54" s="1308">
        <f t="shared" si="19"/>
        <v>0</v>
      </c>
      <c r="F54" s="1299">
        <f>Compte!A38</f>
        <v>1981</v>
      </c>
      <c r="G54" s="1347" t="str">
        <f>Compte!B38</f>
        <v>Provisions pour amendes et pénalités</v>
      </c>
      <c r="H54" s="1279"/>
    </row>
    <row r="55" spans="1:8" ht="14.1" customHeight="1">
      <c r="A55" s="1305">
        <f>Compte!A121</f>
        <v>275</v>
      </c>
      <c r="B55" s="1418" t="str">
        <f>Compte!B121</f>
        <v>Dépôt et Cautionnement versé par l'entreprise</v>
      </c>
      <c r="C55" s="1093"/>
      <c r="D55" s="1093"/>
      <c r="E55" s="1308">
        <f t="shared" si="19"/>
        <v>0</v>
      </c>
      <c r="F55" s="1299">
        <f>Compte!A39</f>
        <v>1982</v>
      </c>
      <c r="G55" s="1347" t="str">
        <f>Compte!B39</f>
        <v>Provisions sur des immobilisations</v>
      </c>
      <c r="H55" s="1279"/>
    </row>
    <row r="56" spans="1:8" ht="14.1" customHeight="1">
      <c r="A56" s="1305">
        <f>Compte!A122</f>
        <v>279</v>
      </c>
      <c r="B56" s="1418" t="str">
        <f>Compte!B122</f>
        <v xml:space="preserve"> Autres créances</v>
      </c>
      <c r="C56" s="1093"/>
      <c r="D56" s="1093"/>
      <c r="E56" s="1308">
        <f t="shared" si="19"/>
        <v>0</v>
      </c>
      <c r="F56" s="1299"/>
      <c r="G56" s="1336"/>
      <c r="H56" s="1313"/>
    </row>
    <row r="57" spans="1:8" ht="14.1" customHeight="1">
      <c r="A57" s="1314"/>
      <c r="B57" s="1431" t="s">
        <v>184</v>
      </c>
      <c r="C57" s="1315">
        <f>SUM(C7,C22,C49)</f>
        <v>0</v>
      </c>
      <c r="D57" s="1315">
        <f>SUM(D7,D22,D49)</f>
        <v>0</v>
      </c>
      <c r="E57" s="1316">
        <f>SUM(E7,E22,E49)</f>
        <v>0</v>
      </c>
      <c r="F57" s="1317"/>
      <c r="G57" s="1337" t="s">
        <v>186</v>
      </c>
      <c r="H57" s="1315">
        <f>SUM(H39,H47)</f>
        <v>0</v>
      </c>
    </row>
    <row r="58" spans="1:8" ht="14.1" customHeight="1">
      <c r="A58" s="1318"/>
      <c r="B58" s="1434" t="s">
        <v>187</v>
      </c>
      <c r="C58" s="1319"/>
      <c r="D58" s="1319"/>
      <c r="E58" s="1320"/>
      <c r="F58" s="1321"/>
      <c r="G58" s="1338" t="s">
        <v>1614</v>
      </c>
      <c r="H58" s="1319"/>
    </row>
    <row r="59" spans="1:8" ht="14.1" customHeight="1">
      <c r="A59" s="1294" t="s">
        <v>188</v>
      </c>
      <c r="B59" s="1403"/>
      <c r="C59" s="1306">
        <f>SUM(C60:C65)</f>
        <v>0</v>
      </c>
      <c r="D59" s="1306">
        <f>SUM(D60:D65)</f>
        <v>0</v>
      </c>
      <c r="E59" s="1306">
        <f>SUM(E60:E65)</f>
        <v>0</v>
      </c>
      <c r="F59" s="1322"/>
      <c r="G59" s="1358" t="s">
        <v>1615</v>
      </c>
      <c r="H59" s="1323">
        <f>SUM(H60:H69)</f>
        <v>0</v>
      </c>
    </row>
    <row r="60" spans="1:8" ht="14.1" customHeight="1">
      <c r="A60" s="1296">
        <f>Compte!A123</f>
        <v>310</v>
      </c>
      <c r="B60" s="1440" t="str">
        <f>Compte!B123</f>
        <v xml:space="preserve">Marchandises </v>
      </c>
      <c r="C60" s="1093"/>
      <c r="D60" s="1279"/>
      <c r="E60" s="1308">
        <f>C60-D60</f>
        <v>0</v>
      </c>
      <c r="F60" s="1299">
        <f>Compte!A40</f>
        <v>4011</v>
      </c>
      <c r="G60" s="1347" t="str">
        <f>Compte!B40</f>
        <v>Fournisseurs</v>
      </c>
      <c r="H60" s="1279"/>
    </row>
    <row r="61" spans="1:8" ht="14.1" customHeight="1">
      <c r="A61" s="1296">
        <f>Compte!A124</f>
        <v>320</v>
      </c>
      <c r="B61" s="1440" t="str">
        <f>Compte!B124</f>
        <v>Matières premières, fournitures</v>
      </c>
      <c r="C61" s="1093"/>
      <c r="D61" s="1279"/>
      <c r="E61" s="1308">
        <f t="shared" ref="E61:E65" si="20">C61-D61</f>
        <v>0</v>
      </c>
      <c r="F61" s="1299">
        <f>Compte!A41</f>
        <v>4012</v>
      </c>
      <c r="G61" s="1347" t="str">
        <f>Compte!B41</f>
        <v>Fournisseurs étrangers</v>
      </c>
      <c r="H61" s="1279"/>
    </row>
    <row r="62" spans="1:8" ht="14.1" customHeight="1">
      <c r="A62" s="1296">
        <f>Compte!A125</f>
        <v>330</v>
      </c>
      <c r="B62" s="1440" t="str">
        <f>Compte!B125</f>
        <v>Autres approvisionnements, emballage récup</v>
      </c>
      <c r="C62" s="1093"/>
      <c r="D62" s="1279"/>
      <c r="E62" s="1308">
        <f t="shared" si="20"/>
        <v>0</v>
      </c>
      <c r="F62" s="1299">
        <f>Compte!A42</f>
        <v>4021</v>
      </c>
      <c r="G62" s="1347" t="str">
        <f>Compte!B42</f>
        <v>Fournisseurs, Effets à payer</v>
      </c>
      <c r="H62" s="1279"/>
    </row>
    <row r="63" spans="1:8" ht="14.1" customHeight="1">
      <c r="A63" s="1296">
        <f>Compte!A126</f>
        <v>340</v>
      </c>
      <c r="B63" s="1440" t="str">
        <f>Compte!B126</f>
        <v>En-cours de produits</v>
      </c>
      <c r="C63" s="1093"/>
      <c r="D63" s="1279"/>
      <c r="E63" s="1308">
        <f t="shared" si="20"/>
        <v>0</v>
      </c>
      <c r="F63" s="1299">
        <f>Compte!A43</f>
        <v>4022</v>
      </c>
      <c r="G63" s="1347" t="str">
        <f>Compte!B43</f>
        <v>Fournisseurs – étranger Effets à payer</v>
      </c>
      <c r="H63" s="1279"/>
    </row>
    <row r="64" spans="1:8" ht="14.1" customHeight="1">
      <c r="A64" s="1296">
        <f>Compte!A127</f>
        <v>361</v>
      </c>
      <c r="B64" s="1440" t="str">
        <f>Compte!B127</f>
        <v>Stock de produits finis</v>
      </c>
      <c r="C64" s="1093"/>
      <c r="D64" s="1279"/>
      <c r="E64" s="1308">
        <f t="shared" ref="E64" si="21">C64-D64</f>
        <v>0</v>
      </c>
      <c r="F64" s="1299">
        <f>Compte!A44</f>
        <v>4081</v>
      </c>
      <c r="G64" s="1347" t="str">
        <f>Compte!B44</f>
        <v>Fournisseurs  facture non parvenues</v>
      </c>
      <c r="H64" s="1279"/>
    </row>
    <row r="65" spans="1:8" ht="14.1" customHeight="1">
      <c r="A65" s="1296">
        <f>Compte!A128</f>
        <v>370</v>
      </c>
      <c r="B65" s="1440" t="str">
        <f>Compte!B128</f>
        <v>Produits intermèdiaires., résiduels</v>
      </c>
      <c r="C65" s="1279"/>
      <c r="D65" s="1279"/>
      <c r="E65" s="1308">
        <f t="shared" si="20"/>
        <v>0</v>
      </c>
      <c r="F65" s="1299">
        <f>Compte!A45</f>
        <v>4086</v>
      </c>
      <c r="G65" s="1347" t="str">
        <f>Compte!B45</f>
        <v>Fournisseurs, intérêts courus</v>
      </c>
      <c r="H65" s="1279"/>
    </row>
    <row r="66" spans="1:8" ht="14.1" customHeight="1">
      <c r="A66" s="1294" t="s">
        <v>0</v>
      </c>
      <c r="B66" s="1403"/>
      <c r="C66" s="1306">
        <f>SUM(C67:C84)</f>
        <v>0</v>
      </c>
      <c r="D66" s="1306"/>
      <c r="E66" s="1306">
        <f>SUM(E67:E84)</f>
        <v>0</v>
      </c>
      <c r="F66" s="1299">
        <f>Compte!A46</f>
        <v>4091</v>
      </c>
      <c r="G66" s="1347" t="str">
        <f>Compte!B46</f>
        <v>Fournisseurs avances et acomptes versés</v>
      </c>
      <c r="H66" s="1279"/>
    </row>
    <row r="67" spans="1:8" ht="14.1" customHeight="1">
      <c r="A67" s="1296">
        <f>Compte!A129</f>
        <v>411</v>
      </c>
      <c r="B67" s="1440" t="str">
        <f>Compte!B129</f>
        <v>Clients</v>
      </c>
      <c r="C67" s="1093"/>
      <c r="D67" s="1279"/>
      <c r="E67" s="1308">
        <f>C67-D67</f>
        <v>0</v>
      </c>
      <c r="F67" s="1299">
        <f>Compte!A47</f>
        <v>4094</v>
      </c>
      <c r="G67" s="1347" t="str">
        <f>Compte!B47</f>
        <v>Fournisseurs créances pour emballages et matériels à rendre</v>
      </c>
      <c r="H67" s="1279"/>
    </row>
    <row r="68" spans="1:8" ht="14.1" customHeight="1">
      <c r="A68" s="1296">
        <f>Compte!A130</f>
        <v>4115</v>
      </c>
      <c r="B68" s="1440" t="str">
        <f>Compte!B130</f>
        <v>client et organismes étrangers</v>
      </c>
      <c r="C68" s="1093"/>
      <c r="D68" s="1279"/>
      <c r="E68" s="1308">
        <f t="shared" ref="E68:E84" si="22">C68-D68</f>
        <v>0</v>
      </c>
      <c r="F68" s="1299">
        <f>Compte!A48</f>
        <v>4098</v>
      </c>
      <c r="G68" s="1347" t="str">
        <f>Compte!B48</f>
        <v>Rabais, Remises, Ristournes et autres avoirs à obtenir</v>
      </c>
      <c r="H68" s="1279"/>
    </row>
    <row r="69" spans="1:8" ht="14.1" customHeight="1">
      <c r="A69" s="1296">
        <f>Compte!A131</f>
        <v>412</v>
      </c>
      <c r="B69" s="1440" t="str">
        <f>Compte!B131</f>
        <v>Clients, effets à recevoir</v>
      </c>
      <c r="C69" s="1093"/>
      <c r="D69" s="1279"/>
      <c r="E69" s="1308">
        <f t="shared" si="22"/>
        <v>0</v>
      </c>
      <c r="F69" s="1299"/>
      <c r="G69" s="1336"/>
      <c r="H69" s="1313"/>
    </row>
    <row r="70" spans="1:8" ht="14.1" customHeight="1">
      <c r="A70" s="1296">
        <f>Compte!A132</f>
        <v>414</v>
      </c>
      <c r="B70" s="1440" t="str">
        <f>Compte!B132</f>
        <v>Créances Cessions. courantes immobilisations.</v>
      </c>
      <c r="C70" s="1093"/>
      <c r="D70" s="1279"/>
      <c r="E70" s="1308">
        <f t="shared" si="22"/>
        <v>0</v>
      </c>
      <c r="F70" s="1301"/>
      <c r="G70" s="1346" t="s">
        <v>500</v>
      </c>
      <c r="H70" s="1324">
        <f>SUM(H71:H90)</f>
        <v>0</v>
      </c>
    </row>
    <row r="71" spans="1:8" ht="14.1" customHeight="1">
      <c r="A71" s="1296">
        <f>Compte!A133</f>
        <v>415</v>
      </c>
      <c r="B71" s="1440" t="str">
        <f>Compte!B133</f>
        <v>Clients effets. escomptés non échus</v>
      </c>
      <c r="C71" s="1093"/>
      <c r="D71" s="1279"/>
      <c r="E71" s="1308">
        <f t="shared" si="22"/>
        <v>0</v>
      </c>
      <c r="F71" s="1299">
        <f>Compte!A49</f>
        <v>431</v>
      </c>
      <c r="G71" s="1347" t="str">
        <f>Compte!B49</f>
        <v>Sécurité sociale , alloc familiale, accident travail, retraite obligatoire...</v>
      </c>
      <c r="H71" s="1279"/>
    </row>
    <row r="72" spans="1:8" ht="14.1" customHeight="1">
      <c r="A72" s="1296">
        <f>Compte!A134</f>
        <v>416</v>
      </c>
      <c r="B72" s="1440" t="str">
        <f>Compte!B134</f>
        <v>Créances litigieuses douteuses</v>
      </c>
      <c r="C72" s="1093"/>
      <c r="D72" s="1279"/>
      <c r="E72" s="1308">
        <f t="shared" si="22"/>
        <v>0</v>
      </c>
      <c r="F72" s="1299">
        <f>Compte!A50</f>
        <v>433</v>
      </c>
      <c r="G72" s="1347" t="str">
        <f>Compte!B50</f>
        <v>Autres organismes sociaux</v>
      </c>
      <c r="H72" s="1279"/>
    </row>
    <row r="73" spans="1:8" ht="14.1" customHeight="1">
      <c r="A73" s="1296">
        <f>Compte!A135</f>
        <v>418</v>
      </c>
      <c r="B73" s="1440" t="str">
        <f>Compte!B135</f>
        <v>clients debiteurs facture à etablir</v>
      </c>
      <c r="C73" s="1093"/>
      <c r="D73" s="1279"/>
      <c r="E73" s="1308">
        <f t="shared" si="22"/>
        <v>0</v>
      </c>
      <c r="F73" s="1299">
        <f>Compte!A51</f>
        <v>438</v>
      </c>
      <c r="G73" s="1347" t="str">
        <f>Compte!B51</f>
        <v>Mutuelle , organismes. Sociaux, Autres charges à payer</v>
      </c>
      <c r="H73" s="1279"/>
    </row>
    <row r="74" spans="1:8" ht="14.1" customHeight="1">
      <c r="A74" s="1296">
        <f>Compte!A136</f>
        <v>419</v>
      </c>
      <c r="B74" s="1440" t="str">
        <f>Compte!B136</f>
        <v>clients  acptes et avces  reçues</v>
      </c>
      <c r="C74" s="1093"/>
      <c r="D74" s="1279"/>
      <c r="E74" s="1308">
        <f t="shared" si="22"/>
        <v>0</v>
      </c>
      <c r="F74" s="1299">
        <f>Compte!A52</f>
        <v>465</v>
      </c>
      <c r="G74" s="1347" t="str">
        <f>Compte!B52</f>
        <v>Associés, dividendes à payer</v>
      </c>
      <c r="H74" s="1279"/>
    </row>
    <row r="75" spans="1:8" ht="14.1" customHeight="1">
      <c r="A75" s="1296">
        <f>Compte!A137</f>
        <v>4194</v>
      </c>
      <c r="B75" s="1440" t="str">
        <f>Compte!B137</f>
        <v>Clients, dettes pour emballages et matériels consigné</v>
      </c>
      <c r="C75" s="1093"/>
      <c r="D75" s="1279"/>
      <c r="E75" s="1308">
        <f t="shared" si="22"/>
        <v>0</v>
      </c>
      <c r="F75" s="1299">
        <f>Compte!A53</f>
        <v>4640</v>
      </c>
      <c r="G75" s="1347" t="str">
        <f>Compte!B53</f>
        <v>Dettes sur immobilisations</v>
      </c>
      <c r="H75" s="1279"/>
    </row>
    <row r="76" spans="1:8" ht="14.1" customHeight="1">
      <c r="A76" s="1296">
        <f>Compte!A138</f>
        <v>421</v>
      </c>
      <c r="B76" s="1440" t="str">
        <f>Compte!B138</f>
        <v>Personnel, avances, acomptes salaires</v>
      </c>
      <c r="C76" s="1093"/>
      <c r="D76" s="1279"/>
      <c r="E76" s="1308">
        <f t="shared" si="22"/>
        <v>0</v>
      </c>
      <c r="F76" s="1299">
        <f>Compte!A54</f>
        <v>4680</v>
      </c>
      <c r="G76" s="1347" t="str">
        <f>Compte!B54</f>
        <v>Autres dettes</v>
      </c>
      <c r="H76" s="1279"/>
    </row>
    <row r="77" spans="1:8" ht="14.1" customHeight="1">
      <c r="A77" s="1296">
        <f>Compte!A139</f>
        <v>422</v>
      </c>
      <c r="B77" s="1440" t="str">
        <f>Compte!B139</f>
        <v>Personnel rémunérations dues</v>
      </c>
      <c r="C77" s="1093"/>
      <c r="D77" s="1279"/>
      <c r="E77" s="1308">
        <f t="shared" si="22"/>
        <v>0</v>
      </c>
      <c r="F77" s="1299">
        <f>Compte!A55</f>
        <v>441</v>
      </c>
      <c r="G77" s="1347" t="str">
        <f>Compte!B55</f>
        <v>Etat impôt sur les bénéfices</v>
      </c>
      <c r="H77" s="1279"/>
    </row>
    <row r="78" spans="1:8" ht="14.1" customHeight="1">
      <c r="A78" s="1296">
        <f>Compte!A140</f>
        <v>4611</v>
      </c>
      <c r="B78" s="1440" t="str">
        <f>Compte!B140</f>
        <v>Associés apports en nature</v>
      </c>
      <c r="C78" s="1093"/>
      <c r="D78" s="1279"/>
      <c r="E78" s="1308">
        <f t="shared" si="22"/>
        <v>0</v>
      </c>
      <c r="F78" s="1299">
        <f>Compte!A56</f>
        <v>442</v>
      </c>
      <c r="G78" s="1347" t="str">
        <f>Compte!B56</f>
        <v>Etat autres impôt et taxes dont douanes</v>
      </c>
      <c r="H78" s="1279"/>
    </row>
    <row r="79" spans="1:8" ht="14.1" customHeight="1">
      <c r="A79" s="1296">
        <f>Compte!A141</f>
        <v>4612</v>
      </c>
      <c r="B79" s="1440" t="str">
        <f>Compte!B141</f>
        <v>Associés apports en numéraire</v>
      </c>
      <c r="C79" s="1093"/>
      <c r="D79" s="1279"/>
      <c r="E79" s="1308">
        <f t="shared" si="22"/>
        <v>0</v>
      </c>
      <c r="F79" s="1299">
        <f>Compte!A57</f>
        <v>443</v>
      </c>
      <c r="G79" s="1347" t="str">
        <f>Compte!B57</f>
        <v>Tva due</v>
      </c>
      <c r="H79" s="1279"/>
    </row>
    <row r="80" spans="1:8" ht="14.1" customHeight="1">
      <c r="A80" s="1296">
        <f>Compte!A142</f>
        <v>4613</v>
      </c>
      <c r="B80" s="1440" t="str">
        <f>Compte!B142</f>
        <v>Associés, Actionnaires, capital souscrit appelé non versé</v>
      </c>
      <c r="C80" s="1093"/>
      <c r="D80" s="1279"/>
      <c r="E80" s="1308">
        <f t="shared" si="22"/>
        <v>0</v>
      </c>
      <c r="F80" s="1299">
        <f>Compte!A58</f>
        <v>4435</v>
      </c>
      <c r="G80" s="1347" t="str">
        <f>Compte!B58</f>
        <v>Etat tva à établir</v>
      </c>
      <c r="H80" s="1279"/>
    </row>
    <row r="81" spans="1:8" ht="14.1" customHeight="1">
      <c r="A81" s="1296">
        <f>Compte!A143</f>
        <v>4615</v>
      </c>
      <c r="B81" s="1440" t="str">
        <f>Compte!B143</f>
        <v>Associés, versements reçus sur augmentation de capital</v>
      </c>
      <c r="C81" s="1093"/>
      <c r="D81" s="1279"/>
      <c r="E81" s="1308">
        <f t="shared" si="22"/>
        <v>0</v>
      </c>
      <c r="F81" s="1299">
        <f>Compte!A59</f>
        <v>446</v>
      </c>
      <c r="G81" s="1347" t="str">
        <f>Compte!B59</f>
        <v>Autres taxes sur CA</v>
      </c>
      <c r="H81" s="1279"/>
    </row>
    <row r="82" spans="1:8" ht="14.1" customHeight="1">
      <c r="A82" s="1296">
        <f>Compte!A144</f>
        <v>4618</v>
      </c>
      <c r="B82" s="1440" t="str">
        <f>Compte!B144</f>
        <v>Associés, autres apports</v>
      </c>
      <c r="C82" s="1093"/>
      <c r="D82" s="1279"/>
      <c r="E82" s="1308">
        <f t="shared" si="22"/>
        <v>0</v>
      </c>
      <c r="F82" s="1299">
        <f>Compte!A60</f>
        <v>447</v>
      </c>
      <c r="G82" s="1347" t="str">
        <f>Compte!B60</f>
        <v>Etat impôt et autres retenues</v>
      </c>
      <c r="H82" s="1279"/>
    </row>
    <row r="83" spans="1:8" ht="14.1" customHeight="1">
      <c r="A83" s="1296">
        <f>Compte!A145</f>
        <v>4620</v>
      </c>
      <c r="B83" s="1440" t="str">
        <f>Compte!B145</f>
        <v>Associés, compte courant</v>
      </c>
      <c r="C83" s="1093"/>
      <c r="D83" s="1279"/>
      <c r="E83" s="1308">
        <f t="shared" si="22"/>
        <v>0</v>
      </c>
      <c r="F83" s="1299">
        <f>Compte!A61</f>
        <v>4486</v>
      </c>
      <c r="G83" s="1347" t="str">
        <f>Compte!B61</f>
        <v>Etat charges à payer</v>
      </c>
      <c r="H83" s="1279"/>
    </row>
    <row r="84" spans="1:8" ht="14.1" customHeight="1">
      <c r="A84" s="1296" t="str">
        <f>Compte!A146</f>
        <v>4449-476</v>
      </c>
      <c r="B84" s="1440" t="str">
        <f>Compte!B146</f>
        <v>Autres créances</v>
      </c>
      <c r="C84" s="1093"/>
      <c r="D84" s="1279"/>
      <c r="E84" s="1308">
        <f t="shared" si="22"/>
        <v>0</v>
      </c>
      <c r="F84" s="1299">
        <f>Compte!A62</f>
        <v>185</v>
      </c>
      <c r="G84" s="1347" t="str">
        <f>Compte!B62</f>
        <v>Dettes liés à des participations</v>
      </c>
      <c r="H84" s="1279"/>
    </row>
    <row r="85" spans="1:8" ht="14.1" customHeight="1">
      <c r="A85" s="1294" t="s">
        <v>189</v>
      </c>
      <c r="B85" s="1403"/>
      <c r="C85" s="1306"/>
      <c r="D85" s="1306"/>
      <c r="E85" s="1306">
        <f t="shared" ref="E85" si="23">SUM(E86:E90)</f>
        <v>0</v>
      </c>
      <c r="F85" s="1299">
        <f>Compte!A63</f>
        <v>4712</v>
      </c>
      <c r="G85" s="1347" t="str">
        <f>Compte!B63</f>
        <v>Créditeurs divers</v>
      </c>
      <c r="H85" s="1279"/>
    </row>
    <row r="86" spans="1:8" ht="14.1" customHeight="1">
      <c r="A86" s="1305">
        <f>Compte!A147</f>
        <v>501</v>
      </c>
      <c r="B86" s="1418" t="str">
        <f>Compte!B147</f>
        <v>VMP actions</v>
      </c>
      <c r="C86" s="1093"/>
      <c r="D86" s="1279"/>
      <c r="E86" s="1308">
        <f>C86-D86</f>
        <v>0</v>
      </c>
      <c r="F86" s="1299">
        <f>Compte!A64</f>
        <v>4726</v>
      </c>
      <c r="G86" s="1347" t="str">
        <f>Compte!B64</f>
        <v>Versement restant sur titres participatifs</v>
      </c>
      <c r="H86" s="1279"/>
    </row>
    <row r="87" spans="1:8" ht="14.1" customHeight="1">
      <c r="A87" s="1305">
        <f>Compte!A148</f>
        <v>502</v>
      </c>
      <c r="B87" s="1418" t="str">
        <f>Compte!B148</f>
        <v>Actions propres</v>
      </c>
      <c r="C87" s="1093"/>
      <c r="D87" s="1279"/>
      <c r="E87" s="1308">
        <f t="shared" ref="E87:E90" si="24">C87-D87</f>
        <v>0</v>
      </c>
      <c r="F87" s="1299">
        <f>Compte!A65</f>
        <v>4727</v>
      </c>
      <c r="G87" s="1347" t="str">
        <f>Compte!B65</f>
        <v>Versement restant sur titres immobilisés</v>
      </c>
      <c r="H87" s="1279"/>
    </row>
    <row r="88" spans="1:8" ht="14.1" customHeight="1">
      <c r="A88" s="1305">
        <f>Compte!A149</f>
        <v>506</v>
      </c>
      <c r="B88" s="1418" t="str">
        <f>Compte!B149</f>
        <v xml:space="preserve">VMP Obligations </v>
      </c>
      <c r="C88" s="1093"/>
      <c r="D88" s="1279"/>
      <c r="E88" s="1308">
        <f t="shared" si="24"/>
        <v>0</v>
      </c>
      <c r="F88" s="1299">
        <f>Compte!A66</f>
        <v>4726</v>
      </c>
      <c r="G88" s="1347" t="str">
        <f>Compte!B66</f>
        <v>Versement restant sur titres VMP</v>
      </c>
      <c r="H88" s="1279"/>
    </row>
    <row r="89" spans="1:8" ht="14.1" customHeight="1">
      <c r="A89" s="1305">
        <f>Compte!A150</f>
        <v>507</v>
      </c>
      <c r="B89" s="1418" t="str">
        <f>Compte!B150</f>
        <v>Bons du Trésor et bons de caisse à CT</v>
      </c>
      <c r="C89" s="1093"/>
      <c r="D89" s="1279"/>
      <c r="E89" s="1308">
        <f t="shared" si="24"/>
        <v>0</v>
      </c>
      <c r="F89" s="1299">
        <f>Compte!A67</f>
        <v>499</v>
      </c>
      <c r="G89" s="1347" t="str">
        <f>Compte!B67</f>
        <v>Risques provisionnés exploitation et Hao</v>
      </c>
      <c r="H89" s="1279"/>
    </row>
    <row r="90" spans="1:8" ht="14.1" customHeight="1">
      <c r="A90" s="1305">
        <f>Compte!A151</f>
        <v>508</v>
      </c>
      <c r="B90" s="1418" t="str">
        <f>Compte!B151</f>
        <v>Autres VMP et créances assimilées</v>
      </c>
      <c r="C90" s="1093"/>
      <c r="D90" s="1279"/>
      <c r="E90" s="1308">
        <f t="shared" si="24"/>
        <v>0</v>
      </c>
      <c r="F90" s="1299">
        <f>Compte!A68</f>
        <v>599</v>
      </c>
      <c r="G90" s="1347" t="str">
        <f>Compte!B68</f>
        <v>Risques provisionnés à caractère financier</v>
      </c>
      <c r="H90" s="1279"/>
    </row>
    <row r="91" spans="1:8" ht="14.1" customHeight="1">
      <c r="A91" s="1294" t="s">
        <v>190</v>
      </c>
      <c r="B91" s="1403"/>
      <c r="C91" s="1306">
        <f>SUM(C92:C99)</f>
        <v>0</v>
      </c>
      <c r="D91" s="1306"/>
      <c r="E91" s="1306">
        <f>SUM(E92:E99)</f>
        <v>0</v>
      </c>
      <c r="F91" s="1291"/>
      <c r="G91" s="1359" t="s">
        <v>1636</v>
      </c>
      <c r="H91" s="1325">
        <f>SUM(H92:H99)</f>
        <v>0</v>
      </c>
    </row>
    <row r="92" spans="1:8" ht="14.1" customHeight="1">
      <c r="A92" s="1296">
        <f>Compte!A152</f>
        <v>520</v>
      </c>
      <c r="B92" s="1440" t="str">
        <f>Compte!B152</f>
        <v>Banques cpte en monnaie nationale</v>
      </c>
      <c r="C92" s="1093"/>
      <c r="D92" s="1279"/>
      <c r="E92" s="1308">
        <f>C92-D92</f>
        <v>0</v>
      </c>
      <c r="F92" s="1296">
        <f>Compte!A69</f>
        <v>561</v>
      </c>
      <c r="G92" s="1339" t="str">
        <f>Compte!B69</f>
        <v>Banques et crédits d'escompte</v>
      </c>
      <c r="H92" s="1279"/>
    </row>
    <row r="93" spans="1:8" ht="14.1" customHeight="1">
      <c r="A93" s="1296">
        <f>Compte!A153</f>
        <v>524</v>
      </c>
      <c r="B93" s="1440" t="str">
        <f>Compte!B153</f>
        <v>Banques hors Zone Franc</v>
      </c>
      <c r="C93" s="1093"/>
      <c r="D93" s="1279"/>
      <c r="E93" s="1308">
        <f t="shared" ref="E93:E99" si="25">C93-D93</f>
        <v>0</v>
      </c>
      <c r="F93" s="1296">
        <f>Compte!A70</f>
        <v>564</v>
      </c>
      <c r="G93" s="1339" t="str">
        <f>Compte!B70</f>
        <v>Escompte de concours campagne agricole</v>
      </c>
      <c r="H93" s="1279"/>
    </row>
    <row r="94" spans="1:8" ht="14.1" customHeight="1">
      <c r="A94" s="1296">
        <f>Compte!A154</f>
        <v>545</v>
      </c>
      <c r="B94" s="1440" t="str">
        <f>Compte!B154</f>
        <v>Avoirs or, autres. métaux précieux</v>
      </c>
      <c r="C94" s="1093"/>
      <c r="D94" s="1279"/>
      <c r="E94" s="1308">
        <f t="shared" si="25"/>
        <v>0</v>
      </c>
      <c r="F94" s="1296">
        <f>Compte!A71</f>
        <v>565</v>
      </c>
      <c r="G94" s="1339" t="str">
        <f>Compte!B71</f>
        <v>Escompte de crédit pour le commerce</v>
      </c>
      <c r="H94" s="1279"/>
    </row>
    <row r="95" spans="1:8" ht="14.1" customHeight="1">
      <c r="A95" s="1296">
        <f>Compte!A155</f>
        <v>531</v>
      </c>
      <c r="B95" s="1440" t="str">
        <f>Compte!B155</f>
        <v>Compte postal</v>
      </c>
      <c r="C95" s="1093"/>
      <c r="D95" s="1279"/>
      <c r="E95" s="1308">
        <f t="shared" si="25"/>
        <v>0</v>
      </c>
      <c r="F95" s="1296">
        <f>Compte!A72</f>
        <v>566</v>
      </c>
      <c r="G95" s="1339" t="str">
        <f>Compte!B72</f>
        <v>Intérêt couru sur crédit de trésorerie</v>
      </c>
      <c r="H95" s="1279"/>
    </row>
    <row r="96" spans="1:8" ht="14.1" customHeight="1">
      <c r="A96" s="1296">
        <f>Compte!A156</f>
        <v>570</v>
      </c>
      <c r="B96" s="1440" t="str">
        <f>Compte!B156</f>
        <v>Caisses</v>
      </c>
      <c r="C96" s="1093"/>
      <c r="D96" s="1279"/>
      <c r="E96" s="1308">
        <f t="shared" si="25"/>
        <v>0</v>
      </c>
      <c r="F96" s="1296">
        <f>Compte!A73</f>
        <v>52</v>
      </c>
      <c r="G96" s="1339" t="str">
        <f>Compte!B73</f>
        <v>Banques, découverts solde céditeur</v>
      </c>
      <c r="H96" s="1279"/>
    </row>
    <row r="97" spans="1:8" ht="14.1" customHeight="1">
      <c r="A97" s="1296">
        <f>Compte!A157</f>
        <v>476</v>
      </c>
      <c r="B97" s="1440" t="str">
        <f>Compte!B157</f>
        <v>Actif de régulation (Charge payée d'avance, produit à recevoir)</v>
      </c>
      <c r="C97" s="1093"/>
      <c r="D97" s="1279"/>
      <c r="E97" s="1308">
        <f t="shared" si="25"/>
        <v>0</v>
      </c>
    </row>
    <row r="98" spans="1:8" ht="14.1" customHeight="1">
      <c r="A98" s="1296">
        <f>Compte!A158</f>
        <v>202</v>
      </c>
      <c r="B98" s="1440" t="str">
        <f>Compte!B158</f>
        <v>Charges étaler sur +sieurs exercices</v>
      </c>
      <c r="C98" s="1279"/>
      <c r="D98" s="1279"/>
      <c r="E98" s="1308">
        <f t="shared" si="25"/>
        <v>0</v>
      </c>
      <c r="F98" s="1296">
        <f>Compte!A74</f>
        <v>477</v>
      </c>
      <c r="G98" s="1339" t="str">
        <f>Compte!B74</f>
        <v>Passif de régulation , Charge à payer, Produits payés d'avance</v>
      </c>
      <c r="H98" s="1279"/>
    </row>
    <row r="99" spans="1:8" ht="14.1" customHeight="1">
      <c r="A99" s="1296">
        <f>Compte!A159</f>
        <v>478</v>
      </c>
      <c r="B99" s="1440" t="str">
        <f>Compte!B159</f>
        <v>Ecart de convertion d'actif</v>
      </c>
      <c r="C99" s="1279"/>
      <c r="D99" s="1279"/>
      <c r="E99" s="1308">
        <f t="shared" si="25"/>
        <v>0</v>
      </c>
      <c r="F99" s="1296">
        <f>Compte!A75</f>
        <v>479</v>
      </c>
      <c r="G99" s="1339" t="str">
        <f>Compte!B75</f>
        <v>Ecart de convertion de passif</v>
      </c>
      <c r="H99" s="1279"/>
    </row>
    <row r="100" spans="1:8" ht="14.1" customHeight="1">
      <c r="A100" s="1314"/>
      <c r="B100" s="1431" t="s">
        <v>186</v>
      </c>
      <c r="C100" s="1316">
        <f>SUM(C91,C85,C66,C59)</f>
        <v>0</v>
      </c>
      <c r="D100" s="1316"/>
      <c r="E100" s="1316">
        <f>SUM(E59,E66,E85,E91)</f>
        <v>0</v>
      </c>
      <c r="F100" s="1317"/>
      <c r="G100" s="1337" t="s">
        <v>191</v>
      </c>
      <c r="H100" s="1315">
        <f>SUM(H59,H70,H91)</f>
        <v>0</v>
      </c>
    </row>
    <row r="101" spans="1:8" ht="14.1" customHeight="1">
      <c r="A101" s="1326"/>
      <c r="B101" s="1446" t="s">
        <v>192</v>
      </c>
      <c r="C101" s="1327">
        <f>SUM(C57,C100)</f>
        <v>0</v>
      </c>
      <c r="D101" s="1327">
        <f t="shared" ref="D101:E101" si="26">SUM(D57,D100)</f>
        <v>0</v>
      </c>
      <c r="E101" s="1327">
        <f t="shared" si="26"/>
        <v>0</v>
      </c>
      <c r="F101" s="1328"/>
      <c r="G101" s="1340" t="s">
        <v>193</v>
      </c>
      <c r="H101" s="1327">
        <f>SUM(H33,H57,H100)</f>
        <v>0</v>
      </c>
    </row>
    <row r="102" spans="1:8" ht="14.1" customHeight="1">
      <c r="A102" s="1329" t="s">
        <v>194</v>
      </c>
      <c r="B102" s="1449"/>
      <c r="C102" s="1330"/>
      <c r="D102" s="1330"/>
      <c r="E102" s="1330"/>
      <c r="F102" s="1331"/>
      <c r="G102" s="1360"/>
      <c r="H102" s="1330">
        <f>H101-E101</f>
        <v>0</v>
      </c>
    </row>
    <row r="103" spans="1:8" ht="14.1" customHeight="1">
      <c r="A103" s="1318"/>
      <c r="B103" s="1381"/>
      <c r="C103" s="1332"/>
      <c r="D103" s="1332"/>
      <c r="E103" s="1332"/>
      <c r="F103" s="1318"/>
      <c r="G103" s="1341"/>
      <c r="H103" s="1332"/>
    </row>
    <row r="104" spans="1:8" ht="14.1" customHeight="1">
      <c r="A104" s="1284" t="s">
        <v>195</v>
      </c>
      <c r="B104" s="1382"/>
      <c r="C104" s="1285"/>
      <c r="D104" s="1285"/>
      <c r="E104" s="1285"/>
      <c r="F104" s="1285"/>
      <c r="G104" s="1361"/>
      <c r="H104" s="1286"/>
    </row>
    <row r="105" spans="1:8" ht="14.1" customHeight="1">
      <c r="A105" s="158" t="s">
        <v>196</v>
      </c>
      <c r="B105" s="1383"/>
      <c r="C105" s="159"/>
      <c r="D105" s="159"/>
      <c r="E105" s="159"/>
      <c r="F105" s="159" t="s">
        <v>197</v>
      </c>
      <c r="G105" s="158"/>
      <c r="H105" s="160"/>
    </row>
    <row r="106" spans="1:8" ht="14.1" customHeight="1">
      <c r="A106" s="158" t="s">
        <v>198</v>
      </c>
      <c r="B106" s="1383"/>
      <c r="C106" s="159"/>
      <c r="D106" s="159"/>
      <c r="E106" s="159"/>
      <c r="F106" s="159" t="s">
        <v>199</v>
      </c>
      <c r="G106" s="158"/>
      <c r="H106" s="160"/>
    </row>
    <row r="107" spans="1:8" ht="14.1" customHeight="1">
      <c r="A107" s="158" t="s">
        <v>200</v>
      </c>
      <c r="B107" s="1383"/>
      <c r="C107" s="1097">
        <f>C7</f>
        <v>0</v>
      </c>
      <c r="D107" s="159"/>
      <c r="E107" s="159"/>
      <c r="F107" s="159" t="s">
        <v>201</v>
      </c>
      <c r="G107" s="158"/>
      <c r="H107" s="1101">
        <f>H6</f>
        <v>0</v>
      </c>
    </row>
    <row r="108" spans="1:8" ht="14.1" customHeight="1">
      <c r="A108" s="158" t="s">
        <v>202</v>
      </c>
      <c r="B108" s="1383"/>
      <c r="C108" s="1097">
        <f>C22</f>
        <v>0</v>
      </c>
      <c r="D108" s="159"/>
      <c r="E108" s="159"/>
      <c r="F108" s="159" t="s">
        <v>203</v>
      </c>
      <c r="G108" s="158"/>
      <c r="H108" s="1101">
        <f>D101+H47</f>
        <v>0</v>
      </c>
    </row>
    <row r="109" spans="1:8" ht="14.1" customHeight="1">
      <c r="A109" s="158" t="s">
        <v>204</v>
      </c>
      <c r="B109" s="1383"/>
      <c r="C109" s="1097">
        <f>C49</f>
        <v>0</v>
      </c>
      <c r="D109" s="159"/>
      <c r="E109" s="159"/>
      <c r="F109" s="159" t="s">
        <v>205</v>
      </c>
      <c r="G109" s="158"/>
      <c r="H109" s="1101">
        <f>SUM(H39)</f>
        <v>0</v>
      </c>
    </row>
    <row r="110" spans="1:8" ht="14.1" customHeight="1">
      <c r="A110" s="161" t="s">
        <v>15</v>
      </c>
      <c r="B110" s="1383"/>
      <c r="C110" s="162">
        <f>SUM(C107:C109)</f>
        <v>0</v>
      </c>
      <c r="D110" s="159"/>
      <c r="E110" s="159"/>
      <c r="F110" s="162" t="s">
        <v>15</v>
      </c>
      <c r="G110" s="161"/>
      <c r="H110" s="163">
        <f>SUM(H107:H109)</f>
        <v>0</v>
      </c>
    </row>
    <row r="111" spans="1:8" ht="14.1" customHeight="1">
      <c r="A111" s="158"/>
      <c r="B111" s="1383"/>
      <c r="C111" s="159"/>
      <c r="D111" s="159"/>
      <c r="E111" s="159"/>
      <c r="F111" s="159"/>
      <c r="G111" s="158"/>
      <c r="H111" s="160"/>
    </row>
    <row r="112" spans="1:8" ht="14.1" customHeight="1">
      <c r="A112" s="158" t="s">
        <v>206</v>
      </c>
      <c r="B112" s="1383"/>
      <c r="C112" s="159"/>
      <c r="D112" s="159"/>
      <c r="E112" s="159"/>
      <c r="F112" s="159" t="s">
        <v>207</v>
      </c>
      <c r="G112" s="158"/>
      <c r="H112" s="160"/>
    </row>
    <row r="113" spans="1:8" ht="14.1" customHeight="1">
      <c r="A113" s="158" t="s">
        <v>208</v>
      </c>
      <c r="B113" s="1383"/>
      <c r="C113" s="1097">
        <f>C59</f>
        <v>0</v>
      </c>
      <c r="D113" s="159"/>
      <c r="E113" s="159"/>
      <c r="F113" s="159" t="s">
        <v>209</v>
      </c>
      <c r="G113" s="158"/>
      <c r="H113" s="1101">
        <f>SUM(H60:H68)</f>
        <v>0</v>
      </c>
    </row>
    <row r="114" spans="1:8" ht="14.1" customHeight="1">
      <c r="A114" s="158" t="s">
        <v>1484</v>
      </c>
      <c r="B114" s="1383"/>
      <c r="C114" s="1097">
        <f>C66</f>
        <v>0</v>
      </c>
      <c r="D114" s="159"/>
      <c r="E114" s="159"/>
      <c r="F114" s="159" t="s">
        <v>210</v>
      </c>
      <c r="G114" s="158"/>
      <c r="H114" s="1101">
        <f>H70</f>
        <v>0</v>
      </c>
    </row>
    <row r="115" spans="1:8" ht="14.1" customHeight="1">
      <c r="A115" s="161" t="s">
        <v>15</v>
      </c>
      <c r="B115" s="1383"/>
      <c r="C115" s="162">
        <f>SUM(C113:C114)</f>
        <v>0</v>
      </c>
      <c r="D115" s="159"/>
      <c r="E115" s="159"/>
      <c r="F115" s="162" t="s">
        <v>15</v>
      </c>
      <c r="G115" s="161"/>
      <c r="H115" s="163">
        <f>SUM(H113:H114)</f>
        <v>0</v>
      </c>
    </row>
    <row r="116" spans="1:8" ht="14.1" customHeight="1">
      <c r="A116" s="158"/>
      <c r="B116" s="1383"/>
      <c r="C116" s="159"/>
      <c r="D116" s="159"/>
      <c r="E116" s="159"/>
      <c r="F116" s="159"/>
      <c r="G116" s="158"/>
      <c r="H116" s="160"/>
    </row>
    <row r="117" spans="1:8" ht="14.1" customHeight="1">
      <c r="A117" s="158" t="s">
        <v>211</v>
      </c>
      <c r="B117" s="1383"/>
      <c r="C117" s="159"/>
      <c r="D117" s="159"/>
      <c r="E117" s="159"/>
      <c r="F117" s="159" t="s">
        <v>212</v>
      </c>
      <c r="G117" s="158"/>
      <c r="H117" s="160"/>
    </row>
    <row r="118" spans="1:8" ht="14.1" customHeight="1">
      <c r="A118" s="158" t="s">
        <v>213</v>
      </c>
      <c r="B118" s="1383"/>
      <c r="C118" s="1097">
        <f>C85+C91</f>
        <v>0</v>
      </c>
      <c r="D118" s="159"/>
      <c r="E118" s="159"/>
      <c r="F118" s="159" t="s">
        <v>214</v>
      </c>
      <c r="G118" s="158"/>
      <c r="H118" s="1101">
        <f>H91</f>
        <v>0</v>
      </c>
    </row>
    <row r="119" spans="1:8" ht="14.1" customHeight="1">
      <c r="A119" s="161" t="s">
        <v>15</v>
      </c>
      <c r="B119" s="1385"/>
      <c r="C119" s="162">
        <f>C118</f>
        <v>0</v>
      </c>
      <c r="D119" s="159"/>
      <c r="E119" s="159"/>
      <c r="F119" s="159" t="s">
        <v>15</v>
      </c>
      <c r="G119" s="158"/>
      <c r="H119" s="1367">
        <f>H118</f>
        <v>0</v>
      </c>
    </row>
    <row r="120" spans="1:8" ht="14.1" customHeight="1">
      <c r="A120" s="158"/>
      <c r="B120" s="1383"/>
      <c r="C120" s="159"/>
      <c r="D120" s="159"/>
      <c r="E120" s="159"/>
      <c r="F120" s="159"/>
      <c r="G120" s="158"/>
      <c r="H120" s="160"/>
    </row>
    <row r="121" spans="1:8" ht="14.1" customHeight="1">
      <c r="A121" s="161" t="s">
        <v>215</v>
      </c>
      <c r="B121" s="1383"/>
      <c r="C121" s="162">
        <f>SUM(C110,C115,C119)</f>
        <v>0</v>
      </c>
      <c r="D121" s="159"/>
      <c r="E121" s="159"/>
      <c r="F121" s="162" t="s">
        <v>215</v>
      </c>
      <c r="G121" s="161"/>
      <c r="H121" s="163">
        <f>SUM(H110,H115,H119)</f>
        <v>0</v>
      </c>
    </row>
    <row r="122" spans="1:8" ht="14.1" customHeight="1">
      <c r="A122" s="595" t="s">
        <v>918</v>
      </c>
      <c r="B122" s="1386"/>
      <c r="C122" s="594"/>
      <c r="D122" s="596" t="s">
        <v>194</v>
      </c>
      <c r="E122" s="597"/>
      <c r="F122" s="594"/>
      <c r="G122" s="593"/>
      <c r="H122" s="598">
        <f>H121-C121</f>
        <v>0</v>
      </c>
    </row>
    <row r="123" spans="1:8" ht="14.1" customHeight="1">
      <c r="A123" s="157"/>
      <c r="B123" s="1387"/>
      <c r="C123" s="157"/>
      <c r="D123" s="157"/>
      <c r="E123" s="157"/>
      <c r="F123" s="1100"/>
      <c r="G123" s="157"/>
      <c r="H123" s="157"/>
    </row>
    <row r="124" spans="1:8" ht="14.1" customHeight="1">
      <c r="A124" s="158" t="s">
        <v>216</v>
      </c>
      <c r="B124" s="1383"/>
      <c r="C124" s="159"/>
      <c r="D124" s="159"/>
      <c r="E124" s="159"/>
      <c r="F124" s="159"/>
      <c r="G124" s="158"/>
      <c r="H124" s="160"/>
    </row>
    <row r="125" spans="1:8" ht="14.1" customHeight="1">
      <c r="A125" s="164" t="s">
        <v>217</v>
      </c>
      <c r="B125" s="1388"/>
      <c r="C125" s="165"/>
      <c r="D125" s="159"/>
      <c r="E125" s="1641">
        <f>H110</f>
        <v>0</v>
      </c>
      <c r="F125" s="1642"/>
      <c r="G125" s="164">
        <f>C110</f>
        <v>0</v>
      </c>
      <c r="H125" s="166">
        <f>E125-G125</f>
        <v>0</v>
      </c>
    </row>
    <row r="126" spans="1:8" ht="14.1" customHeight="1">
      <c r="A126" s="164" t="s">
        <v>501</v>
      </c>
      <c r="B126" s="1388"/>
      <c r="C126" s="165"/>
      <c r="D126" s="159"/>
      <c r="E126" s="1641">
        <f>C115</f>
        <v>0</v>
      </c>
      <c r="F126" s="1642"/>
      <c r="G126" s="164">
        <f>H115</f>
        <v>0</v>
      </c>
      <c r="H126" s="166">
        <f>E126-G126</f>
        <v>0</v>
      </c>
    </row>
    <row r="127" spans="1:8" ht="14.1" customHeight="1">
      <c r="A127" s="164" t="s">
        <v>917</v>
      </c>
      <c r="B127" s="1388"/>
      <c r="C127" s="165"/>
      <c r="D127" s="159"/>
      <c r="E127" s="1641">
        <f>C119</f>
        <v>0</v>
      </c>
      <c r="F127" s="1642"/>
      <c r="G127" s="164">
        <f>H119</f>
        <v>0</v>
      </c>
      <c r="H127" s="166">
        <f>E127-G127</f>
        <v>0</v>
      </c>
    </row>
    <row r="128" spans="1:8" ht="14.1" customHeight="1">
      <c r="A128" s="164" t="s">
        <v>218</v>
      </c>
      <c r="B128" s="1388"/>
      <c r="C128" s="165"/>
      <c r="D128" s="159"/>
      <c r="E128" s="1641">
        <f>H125</f>
        <v>0</v>
      </c>
      <c r="F128" s="1642"/>
      <c r="G128" s="164">
        <f>H126</f>
        <v>0</v>
      </c>
      <c r="H128" s="166">
        <f>E128-G128</f>
        <v>0</v>
      </c>
    </row>
    <row r="129" spans="1:8" ht="14.1" customHeight="1">
      <c r="A129" s="1102" t="str">
        <f>IF(H128=H127,"Votre trésorerie issue du FRNG et du BFR est juste, les moyens de vérifications sont confirmés"," Votre Trésorerie est fausse, vérifier l'équilibre du bilan d'ouverture")</f>
        <v>Votre trésorerie issue du FRNG et du BFR est juste, les moyens de vérifications sont confirmés</v>
      </c>
      <c r="B129" s="1389"/>
      <c r="C129" s="1104"/>
      <c r="D129" s="1104"/>
      <c r="E129" s="1104"/>
      <c r="F129" s="1104"/>
      <c r="G129" s="1103"/>
      <c r="H129" s="1105"/>
    </row>
    <row r="130" spans="1:8" ht="14.1" customHeight="1">
      <c r="A130" s="167"/>
      <c r="B130" s="1383"/>
      <c r="C130" s="159"/>
      <c r="D130" s="159"/>
      <c r="E130" s="159"/>
      <c r="F130" s="159"/>
      <c r="G130" s="158"/>
      <c r="H130" s="160"/>
    </row>
  </sheetData>
  <sheetProtection selectLockedCells="1"/>
  <mergeCells count="6">
    <mergeCell ref="E127:F127"/>
    <mergeCell ref="E128:F128"/>
    <mergeCell ref="A1:H1"/>
    <mergeCell ref="A4:H4"/>
    <mergeCell ref="E125:F125"/>
    <mergeCell ref="E126:F126"/>
  </mergeCells>
  <pageMargins left="0.7" right="0.7" top="0.75" bottom="0.75" header="0.3" footer="0.3"/>
  <pageSetup paperSize="9" orientation="portrait" horizontalDpi="4294967293" r:id="rId1"/>
  <legacyDrawing r:id="rId2"/>
</worksheet>
</file>

<file path=xl/worksheets/sheet4.xml><?xml version="1.0" encoding="utf-8"?>
<worksheet xmlns="http://schemas.openxmlformats.org/spreadsheetml/2006/main" xmlns:r="http://schemas.openxmlformats.org/officeDocument/2006/relationships">
  <sheetPr codeName="Feuil4"/>
  <dimension ref="A1:F181"/>
  <sheetViews>
    <sheetView showGridLines="0" workbookViewId="0">
      <pane ySplit="2" topLeftCell="A3" activePane="bottomLeft" state="frozen"/>
      <selection pane="bottomLeft" activeCell="G4" sqref="G4"/>
    </sheetView>
  </sheetViews>
  <sheetFormatPr baseColWidth="10" defaultRowHeight="15" customHeight="1"/>
  <cols>
    <col min="1" max="1" width="7.42578125" style="637" customWidth="1"/>
    <col min="2" max="2" width="42.85546875" style="637" customWidth="1"/>
    <col min="3" max="3" width="15.42578125" style="649" customWidth="1"/>
    <col min="4" max="4" width="8.7109375" style="637" customWidth="1"/>
    <col min="5" max="5" width="40.140625" style="637" customWidth="1"/>
    <col min="6" max="6" width="14.140625" style="638" customWidth="1"/>
    <col min="7" max="16384" width="11.42578125" style="637"/>
  </cols>
  <sheetData>
    <row r="1" spans="1:6" ht="15" customHeight="1">
      <c r="A1" s="79"/>
      <c r="B1" s="636"/>
      <c r="C1" s="335"/>
      <c r="D1" s="115"/>
      <c r="E1" s="79"/>
      <c r="F1" s="326"/>
    </row>
    <row r="2" spans="1:6" ht="15" customHeight="1" thickBot="1">
      <c r="A2" s="1645" t="s">
        <v>504</v>
      </c>
      <c r="B2" s="1645"/>
      <c r="C2" s="1645"/>
      <c r="D2" s="1645"/>
      <c r="E2" s="1645"/>
      <c r="F2" s="326"/>
    </row>
    <row r="3" spans="1:6" ht="15" customHeight="1">
      <c r="A3" s="253"/>
      <c r="B3" s="254" t="s">
        <v>505</v>
      </c>
      <c r="C3" s="336"/>
      <c r="D3" s="255"/>
      <c r="E3" s="256"/>
      <c r="F3" s="327" t="s">
        <v>506</v>
      </c>
    </row>
    <row r="4" spans="1:6" ht="15" customHeight="1">
      <c r="A4" s="257"/>
      <c r="B4" s="116"/>
      <c r="C4" s="337"/>
      <c r="D4" s="117"/>
      <c r="E4" s="79"/>
      <c r="F4" s="328"/>
    </row>
    <row r="5" spans="1:6" ht="15" customHeight="1">
      <c r="A5" s="644">
        <f>Compte!A160</f>
        <v>7072</v>
      </c>
      <c r="B5" s="644" t="str">
        <f>Compte!B160</f>
        <v>Commissions et court. accordés aux 1/3 sur ventes</v>
      </c>
      <c r="C5" s="338">
        <f>Balance!E161</f>
        <v>0</v>
      </c>
      <c r="D5" s="433">
        <f>Compte!A257</f>
        <v>7010</v>
      </c>
      <c r="E5" s="433" t="str">
        <f>Compte!B257</f>
        <v>Ventes Mach  &amp; P fini  à taux réduit</v>
      </c>
      <c r="F5" s="329">
        <f>-Balance!E258</f>
        <v>1000110</v>
      </c>
    </row>
    <row r="6" spans="1:6" ht="15" customHeight="1">
      <c r="A6" s="644">
        <f>Compte!A161</f>
        <v>601</v>
      </c>
      <c r="B6" s="644" t="str">
        <f>Compte!B161</f>
        <v>Achats de marchandises à taux réduit</v>
      </c>
      <c r="C6" s="338">
        <f>Balance!E162</f>
        <v>0</v>
      </c>
      <c r="D6" s="433">
        <f>Compte!A258</f>
        <v>7011</v>
      </c>
      <c r="E6" s="433" t="str">
        <f>Compte!B258</f>
        <v>Ventes Mach  &amp; P fini  à taux normal</v>
      </c>
      <c r="F6" s="329">
        <f>-Balance!E259</f>
        <v>1130</v>
      </c>
    </row>
    <row r="7" spans="1:6" ht="15" customHeight="1">
      <c r="A7" s="644">
        <f>Compte!A162</f>
        <v>602</v>
      </c>
      <c r="B7" s="644" t="str">
        <f>Compte!B162</f>
        <v>Achats de marchandises taux normal</v>
      </c>
      <c r="C7" s="338">
        <f>Balance!E163</f>
        <v>210</v>
      </c>
      <c r="D7" s="433">
        <f>Compte!A259</f>
        <v>7012</v>
      </c>
      <c r="E7" s="433" t="str">
        <f>Compte!B259</f>
        <v>Ventes Mach  &amp; P fini  à taux fort</v>
      </c>
      <c r="F7" s="329">
        <f>-Balance!E260</f>
        <v>0</v>
      </c>
    </row>
    <row r="8" spans="1:6" ht="15" customHeight="1">
      <c r="A8" s="644">
        <f>Compte!A163</f>
        <v>603</v>
      </c>
      <c r="B8" s="644" t="str">
        <f>Compte!B163</f>
        <v>Achats de marchandises  au taux fort</v>
      </c>
      <c r="C8" s="338">
        <f>Balance!E164</f>
        <v>0</v>
      </c>
      <c r="D8" s="433">
        <f>Compte!A260</f>
        <v>7031</v>
      </c>
      <c r="E8" s="433" t="str">
        <f>Compte!B260</f>
        <v>Produits interm. &amp; résiduels à taux réduit</v>
      </c>
      <c r="F8" s="329">
        <f>-Balance!E261</f>
        <v>4900</v>
      </c>
    </row>
    <row r="9" spans="1:6" ht="15" customHeight="1">
      <c r="A9" s="644">
        <f>Compte!A164</f>
        <v>6010</v>
      </c>
      <c r="B9" s="644" t="str">
        <f>Compte!B164</f>
        <v>MP, fournitures &amp; Emb.  À taux réduit</v>
      </c>
      <c r="C9" s="338">
        <f>Balance!E165</f>
        <v>0</v>
      </c>
      <c r="D9" s="433">
        <f>Compte!A261</f>
        <v>7032</v>
      </c>
      <c r="E9" s="433" t="str">
        <f>Compte!B261</f>
        <v>Produits interm. &amp; résideuels à taux normal</v>
      </c>
      <c r="F9" s="329">
        <f>-Balance!E262</f>
        <v>0</v>
      </c>
    </row>
    <row r="10" spans="1:6" ht="15" customHeight="1">
      <c r="A10" s="644">
        <f>Compte!A165</f>
        <v>6011</v>
      </c>
      <c r="B10" s="644" t="str">
        <f>Compte!B165</f>
        <v>MP, fournitures &amp; Emb. À taux normal</v>
      </c>
      <c r="C10" s="338">
        <f>Balance!E166</f>
        <v>1500</v>
      </c>
      <c r="D10" s="433">
        <f>Compte!A262</f>
        <v>7033</v>
      </c>
      <c r="E10" s="433" t="str">
        <f>Compte!B262</f>
        <v>Produits interm. &amp; résiduels à taux fort</v>
      </c>
      <c r="F10" s="329">
        <f>-Balance!E263</f>
        <v>0</v>
      </c>
    </row>
    <row r="11" spans="1:6" ht="15" customHeight="1">
      <c r="A11" s="644">
        <f>Compte!A166</f>
        <v>6012</v>
      </c>
      <c r="B11" s="644" t="str">
        <f>Compte!B166</f>
        <v>MP, fournitures &amp; Emb.à taux fort</v>
      </c>
      <c r="C11" s="338">
        <f>Balance!E167</f>
        <v>0</v>
      </c>
      <c r="D11" s="433">
        <f>Compte!A263</f>
        <v>7061</v>
      </c>
      <c r="E11" s="433" t="str">
        <f>Compte!B263</f>
        <v>Services vendus  à taux réduit</v>
      </c>
      <c r="F11" s="329">
        <f>-Balance!E264</f>
        <v>0</v>
      </c>
    </row>
    <row r="12" spans="1:6" ht="15" customHeight="1">
      <c r="A12" s="644">
        <f>Compte!A167</f>
        <v>6020</v>
      </c>
      <c r="B12" s="644" t="str">
        <f>Compte!B167</f>
        <v>MP, fournitures &amp; Emb. dans l'UÉMOA à taux réduit</v>
      </c>
      <c r="C12" s="338">
        <f>Balance!E168</f>
        <v>0</v>
      </c>
      <c r="D12" s="433">
        <f>Compte!A264</f>
        <v>7062</v>
      </c>
      <c r="E12" s="433" t="str">
        <f>Compte!B264</f>
        <v>Services vendus à taux normal</v>
      </c>
      <c r="F12" s="329">
        <f>-Balance!E265</f>
        <v>1000</v>
      </c>
    </row>
    <row r="13" spans="1:6" ht="15" customHeight="1">
      <c r="A13" s="644">
        <f>Compte!A168</f>
        <v>6021</v>
      </c>
      <c r="B13" s="644" t="str">
        <f>Compte!B168</f>
        <v>MP, fournitures &amp; Emb. dans l'UÉMOA à taux normal</v>
      </c>
      <c r="C13" s="338">
        <f>Balance!E169</f>
        <v>2000</v>
      </c>
      <c r="D13" s="433">
        <f>Compte!A265</f>
        <v>7063</v>
      </c>
      <c r="E13" s="433" t="str">
        <f>Compte!B265</f>
        <v>Services vendus à taux fort</v>
      </c>
      <c r="F13" s="329">
        <f>-Balance!E266</f>
        <v>0</v>
      </c>
    </row>
    <row r="14" spans="1:6" ht="15" customHeight="1">
      <c r="A14" s="644">
        <f>Compte!A169</f>
        <v>6022</v>
      </c>
      <c r="B14" s="644" t="str">
        <f>Compte!B169</f>
        <v>MP, fournitures &amp; Emb. dans l'UÉMOA à taux fort</v>
      </c>
      <c r="C14" s="338">
        <f>Balance!E170</f>
        <v>0</v>
      </c>
      <c r="D14" s="433">
        <f>Compte!A266</f>
        <v>7021</v>
      </c>
      <c r="E14" s="433" t="str">
        <f>Compte!B266</f>
        <v>Ventes Mach  &amp; P fini UEMOA  &amp; RDM à taux réduit</v>
      </c>
      <c r="F14" s="329">
        <f>-Balance!E267</f>
        <v>500</v>
      </c>
    </row>
    <row r="15" spans="1:6" ht="15" customHeight="1">
      <c r="A15" s="644">
        <f>Compte!A170</f>
        <v>6013</v>
      </c>
      <c r="B15" s="644" t="str">
        <f>Compte!B170</f>
        <v>Achats de marchandises hors UEMOA taux réduit</v>
      </c>
      <c r="C15" s="338">
        <f>Balance!E171</f>
        <v>700000</v>
      </c>
      <c r="D15" s="433">
        <f>Compte!A267</f>
        <v>7022</v>
      </c>
      <c r="E15" s="433" t="str">
        <f>Compte!B267</f>
        <v>Ventes Mach  &amp; P fini UEMOA  &amp; RDM à taux normal</v>
      </c>
      <c r="F15" s="329">
        <f>-Balance!E268</f>
        <v>1000</v>
      </c>
    </row>
    <row r="16" spans="1:6" ht="15" customHeight="1">
      <c r="A16" s="644">
        <f>Compte!A171</f>
        <v>6014</v>
      </c>
      <c r="B16" s="644" t="str">
        <f>Compte!B171</f>
        <v>MP et fournitures. hors UÉMOA taux normal</v>
      </c>
      <c r="C16" s="338">
        <f>Balance!E172</f>
        <v>10000</v>
      </c>
      <c r="D16" s="433">
        <f>Compte!A268</f>
        <v>7023</v>
      </c>
      <c r="E16" s="433" t="str">
        <f>Compte!B268</f>
        <v>Ventes Mach  &amp; P fini UEMOA  &amp; RDM à taux fort</v>
      </c>
      <c r="F16" s="329">
        <f>-Balance!E269</f>
        <v>200</v>
      </c>
    </row>
    <row r="17" spans="1:6" ht="15" customHeight="1">
      <c r="A17" s="644">
        <f>Compte!A172</f>
        <v>6015</v>
      </c>
      <c r="B17" s="644" t="str">
        <f>Compte!B172</f>
        <v>MP et fournitures. hors UÉMOA taux fort</v>
      </c>
      <c r="C17" s="338">
        <f>Balance!E173</f>
        <v>0</v>
      </c>
      <c r="D17" s="433">
        <f>Compte!A269</f>
        <v>7032</v>
      </c>
      <c r="E17" s="433" t="str">
        <f>Compte!B269</f>
        <v>Produits interm. &amp; résiduels UÉMOA &amp; RDM à taux réduit</v>
      </c>
      <c r="F17" s="329">
        <f>-Balance!E270</f>
        <v>0</v>
      </c>
    </row>
    <row r="18" spans="1:6" ht="15" customHeight="1">
      <c r="A18" s="644">
        <f>Compte!A173</f>
        <v>6180</v>
      </c>
      <c r="B18" s="644" t="str">
        <f>Compte!B173</f>
        <v>Autres frais d'achat et douanes</v>
      </c>
      <c r="C18" s="338">
        <f>Balance!E174</f>
        <v>500</v>
      </c>
      <c r="D18" s="433">
        <f>Compte!A270</f>
        <v>7033</v>
      </c>
      <c r="E18" s="433" t="str">
        <f>Compte!B270</f>
        <v>Produits interm. &amp; résiduels UÉMOA &amp; RDM à taux normal</v>
      </c>
      <c r="F18" s="329">
        <f>-Balance!E271</f>
        <v>0</v>
      </c>
    </row>
    <row r="19" spans="1:6" ht="15" customHeight="1">
      <c r="A19" s="644">
        <f>Compte!A177</f>
        <v>6031</v>
      </c>
      <c r="B19" s="601" t="str">
        <f>Compte!B177</f>
        <v>Variations : stocks marchandises dim</v>
      </c>
      <c r="C19" s="338">
        <f>Balance!E178</f>
        <v>20000</v>
      </c>
      <c r="D19" s="433">
        <f>Compte!A271</f>
        <v>7034</v>
      </c>
      <c r="E19" s="433" t="str">
        <f>Compte!B271</f>
        <v>Produits interm. &amp; résiduels UÉMOA &amp; RDM à taux fort</v>
      </c>
      <c r="F19" s="329">
        <f>-Balance!E272</f>
        <v>10000</v>
      </c>
    </row>
    <row r="20" spans="1:6" ht="15" customHeight="1">
      <c r="A20" s="644">
        <f>Compte!A178</f>
        <v>6032</v>
      </c>
      <c r="B20" s="601" t="str">
        <f>Compte!B178</f>
        <v>Variations. Mat. premières, fournit. Dim</v>
      </c>
      <c r="C20" s="338">
        <f>Balance!E179</f>
        <v>30000</v>
      </c>
      <c r="D20" s="433">
        <f>Compte!A272</f>
        <v>7064</v>
      </c>
      <c r="E20" s="433" t="str">
        <f>Compte!B272</f>
        <v>Services vendus UÉMOA &amp;RDM à taux réduit</v>
      </c>
      <c r="F20" s="329">
        <f>-Balance!E273</f>
        <v>0</v>
      </c>
    </row>
    <row r="21" spans="1:6" ht="15" customHeight="1">
      <c r="A21" s="644">
        <f>Compte!A179</f>
        <v>6033</v>
      </c>
      <c r="B21" s="601" t="str">
        <f>Compte!B179</f>
        <v>Variations. Autres approvisionnement. Dim</v>
      </c>
      <c r="C21" s="338">
        <f>Balance!E180</f>
        <v>20000</v>
      </c>
      <c r="D21" s="433">
        <f>Compte!A273</f>
        <v>7065</v>
      </c>
      <c r="E21" s="433" t="str">
        <f>Compte!B273</f>
        <v>Services vendus UÉMOA &amp;RDM à taux normal</v>
      </c>
      <c r="F21" s="329">
        <f>-Balance!E274</f>
        <v>50000</v>
      </c>
    </row>
    <row r="22" spans="1:6" ht="15" customHeight="1">
      <c r="A22" s="644">
        <f>Compte!A180</f>
        <v>6034</v>
      </c>
      <c r="B22" s="601" t="str">
        <f>Compte!B180</f>
        <v>Variations. Produit résiduel et intermédiaires</v>
      </c>
      <c r="C22" s="338">
        <f>Balance!E181</f>
        <v>20000</v>
      </c>
      <c r="D22" s="433">
        <f>Compte!A274</f>
        <v>7066</v>
      </c>
      <c r="E22" s="433" t="str">
        <f>Compte!B274</f>
        <v>Services vendus UÉMOA &amp;RDM à taux fort</v>
      </c>
      <c r="F22" s="329">
        <f>-Balance!E275</f>
        <v>0</v>
      </c>
    </row>
    <row r="23" spans="1:6" ht="15" customHeight="1">
      <c r="A23" s="644">
        <f>Compte!A181</f>
        <v>6035</v>
      </c>
      <c r="B23" s="601" t="str">
        <f>Compte!B181</f>
        <v>Variation des encours de produit Dim</v>
      </c>
      <c r="C23" s="338">
        <f>Balance!E182</f>
        <v>20000</v>
      </c>
      <c r="D23" s="433">
        <f>Compte!A275</f>
        <v>7500</v>
      </c>
      <c r="E23" s="433" t="str">
        <f>Compte!B275</f>
        <v>Frais de port , livraison &amp; Autres produits</v>
      </c>
      <c r="F23" s="329">
        <f>-Balance!E276</f>
        <v>80190</v>
      </c>
    </row>
    <row r="24" spans="1:6" ht="15" customHeight="1">
      <c r="A24" s="644">
        <f>Compte!A182</f>
        <v>7360</v>
      </c>
      <c r="B24" s="601" t="str">
        <f>Compte!B182</f>
        <v>variation des produits finis Dim</v>
      </c>
      <c r="C24" s="338">
        <f>Balance!E183</f>
        <v>500</v>
      </c>
      <c r="D24" s="433">
        <f>Compte!A276</f>
        <v>7581</v>
      </c>
      <c r="E24" s="433" t="str">
        <f>Compte!B276</f>
        <v>Autoconsommation à taux réduit</v>
      </c>
      <c r="F24" s="329">
        <f>-Balance!E277</f>
        <v>0</v>
      </c>
    </row>
    <row r="25" spans="1:6" ht="15" customHeight="1">
      <c r="A25" s="258"/>
      <c r="B25" s="252"/>
      <c r="C25" s="338"/>
      <c r="D25" s="433">
        <f>Compte!A277</f>
        <v>7582</v>
      </c>
      <c r="E25" s="433" t="str">
        <f>Compte!B277</f>
        <v>Autoconsommation à taux normal</v>
      </c>
      <c r="F25" s="329">
        <f>-Balance!E278</f>
        <v>1200</v>
      </c>
    </row>
    <row r="26" spans="1:6" ht="15" customHeight="1">
      <c r="A26" s="258"/>
      <c r="B26" s="252"/>
      <c r="C26" s="338"/>
      <c r="D26" s="433">
        <f>Compte!A278</f>
        <v>7583</v>
      </c>
      <c r="E26" s="433" t="str">
        <f>Compte!B278</f>
        <v>Autoconsommation à taux fort</v>
      </c>
      <c r="F26" s="329">
        <f>-Balance!E279</f>
        <v>0</v>
      </c>
    </row>
    <row r="27" spans="1:6" ht="15" customHeight="1">
      <c r="A27" s="258"/>
      <c r="B27" s="252"/>
      <c r="C27" s="338"/>
      <c r="D27" s="433">
        <f>Compte!A282</f>
        <v>6031</v>
      </c>
      <c r="E27" s="433" t="str">
        <f>Compte!B282</f>
        <v>Variations : stocks marchandises Aug</v>
      </c>
      <c r="F27" s="329">
        <f>-Balance!E283</f>
        <v>10000</v>
      </c>
    </row>
    <row r="28" spans="1:6" ht="15" customHeight="1">
      <c r="A28" s="258"/>
      <c r="B28" s="252"/>
      <c r="C28" s="338"/>
      <c r="D28" s="433">
        <f>Compte!A283</f>
        <v>6032</v>
      </c>
      <c r="E28" s="433" t="str">
        <f>Compte!B283</f>
        <v>Variations. Mat. premières, fournit. Aug</v>
      </c>
      <c r="F28" s="329">
        <f>-Balance!E284</f>
        <v>30000</v>
      </c>
    </row>
    <row r="29" spans="1:6" ht="15" customHeight="1">
      <c r="A29" s="258"/>
      <c r="B29" s="252"/>
      <c r="C29" s="338"/>
      <c r="D29" s="433">
        <f>Compte!A284</f>
        <v>6033</v>
      </c>
      <c r="E29" s="433" t="str">
        <f>Compte!B284</f>
        <v>Variations. Autres approvisionnement. Aug</v>
      </c>
      <c r="F29" s="329">
        <f>-Balance!E285</f>
        <v>10000</v>
      </c>
    </row>
    <row r="30" spans="1:6" ht="15" customHeight="1">
      <c r="A30" s="258"/>
      <c r="B30" s="252"/>
      <c r="C30" s="338"/>
      <c r="D30" s="433">
        <f>Compte!A285</f>
        <v>6034</v>
      </c>
      <c r="E30" s="433" t="str">
        <f>Compte!B285</f>
        <v>Variations. produits résiduels et intermédiaires aug</v>
      </c>
      <c r="F30" s="329">
        <f>-Balance!E286</f>
        <v>10000</v>
      </c>
    </row>
    <row r="31" spans="1:6" ht="15" customHeight="1">
      <c r="A31" s="258"/>
      <c r="B31" s="252"/>
      <c r="C31" s="338"/>
      <c r="D31" s="433">
        <f>Compte!A286</f>
        <v>6035</v>
      </c>
      <c r="E31" s="433" t="str">
        <f>Compte!B286</f>
        <v>Variation des en-cours de produits aug</v>
      </c>
      <c r="F31" s="329">
        <f>-Balance!E287</f>
        <v>10000</v>
      </c>
    </row>
    <row r="32" spans="1:6" ht="15" customHeight="1">
      <c r="A32" s="258"/>
      <c r="B32" s="252"/>
      <c r="C32" s="338"/>
      <c r="D32" s="433">
        <f>Compte!A287</f>
        <v>7360</v>
      </c>
      <c r="E32" s="433" t="str">
        <f>Compte!B287</f>
        <v>Variation des produits finis aug</v>
      </c>
      <c r="F32" s="329">
        <f>-Balance!E288</f>
        <v>1500</v>
      </c>
    </row>
    <row r="33" spans="1:6" ht="15" customHeight="1">
      <c r="A33" s="257"/>
      <c r="B33" s="121" t="s">
        <v>252</v>
      </c>
      <c r="C33" s="339">
        <f>F34-SUM(C5:C32)</f>
        <v>397020</v>
      </c>
      <c r="D33" s="643"/>
      <c r="E33" s="643"/>
      <c r="F33" s="650"/>
    </row>
    <row r="34" spans="1:6" ht="15" customHeight="1">
      <c r="A34" s="259"/>
      <c r="B34" s="122" t="s">
        <v>15</v>
      </c>
      <c r="C34" s="340">
        <f>SUM(C5:C33)</f>
        <v>1221730</v>
      </c>
      <c r="D34" s="79"/>
      <c r="E34" s="123" t="s">
        <v>15</v>
      </c>
      <c r="F34" s="330">
        <f>SUM(F5:F32)</f>
        <v>1221730</v>
      </c>
    </row>
    <row r="35" spans="1:6" ht="15" customHeight="1">
      <c r="A35" s="257"/>
      <c r="B35" s="116"/>
      <c r="C35" s="341"/>
      <c r="D35" s="120"/>
      <c r="E35" s="116"/>
      <c r="F35" s="328"/>
    </row>
    <row r="36" spans="1:6" ht="15" customHeight="1">
      <c r="A36" s="257"/>
      <c r="B36" s="116"/>
      <c r="C36" s="337"/>
      <c r="D36" s="117"/>
      <c r="E36" s="121" t="s">
        <v>252</v>
      </c>
      <c r="F36" s="331">
        <f>C33</f>
        <v>397020</v>
      </c>
    </row>
    <row r="37" spans="1:6" ht="15" customHeight="1">
      <c r="A37" s="259" t="s">
        <v>1176</v>
      </c>
      <c r="B37" s="116"/>
      <c r="C37" s="337"/>
      <c r="D37" s="117"/>
      <c r="E37" s="116"/>
      <c r="F37" s="328"/>
    </row>
    <row r="38" spans="1:6" ht="15" customHeight="1">
      <c r="A38" s="644">
        <f>Compte!A183</f>
        <v>6051</v>
      </c>
      <c r="B38" s="601" t="str">
        <f>Compte!B183</f>
        <v>Fournitures non stockables -Eau</v>
      </c>
      <c r="C38" s="338">
        <f>Balance!E184</f>
        <v>800</v>
      </c>
      <c r="D38" s="117"/>
      <c r="E38" s="116"/>
      <c r="F38" s="328"/>
    </row>
    <row r="39" spans="1:6" ht="15" customHeight="1">
      <c r="A39" s="644">
        <f>Compte!A184</f>
        <v>6052</v>
      </c>
      <c r="B39" s="601" t="str">
        <f>Compte!B184</f>
        <v>Fournitures non stockables - Electricité</v>
      </c>
      <c r="C39" s="338">
        <f>Balance!E185</f>
        <v>100</v>
      </c>
      <c r="D39" s="117"/>
      <c r="E39" s="116"/>
      <c r="F39" s="328"/>
    </row>
    <row r="40" spans="1:6" ht="15" customHeight="1">
      <c r="A40" s="644">
        <f>Compte!A185</f>
        <v>6053</v>
      </c>
      <c r="B40" s="601" t="str">
        <f>Compte!B185</f>
        <v>Fournitures non stockables – Autres énergies</v>
      </c>
      <c r="C40" s="338">
        <f>Balance!E186</f>
        <v>600</v>
      </c>
      <c r="D40" s="117"/>
      <c r="E40" s="116"/>
      <c r="F40" s="328"/>
    </row>
    <row r="41" spans="1:6" ht="15" customHeight="1">
      <c r="A41" s="644">
        <f>Compte!A186</f>
        <v>6054</v>
      </c>
      <c r="B41" s="601" t="str">
        <f>Compte!B186</f>
        <v>Fournitures d'entretien non stockables</v>
      </c>
      <c r="C41" s="338">
        <f>Balance!E187</f>
        <v>200</v>
      </c>
      <c r="D41" s="117"/>
      <c r="E41" s="116"/>
      <c r="F41" s="328"/>
    </row>
    <row r="42" spans="1:6" ht="15" customHeight="1">
      <c r="A42" s="644">
        <f>Compte!A187</f>
        <v>6055</v>
      </c>
      <c r="B42" s="601" t="str">
        <f>Compte!B187</f>
        <v>Fournitures de bureau et petit logiciel bureautique</v>
      </c>
      <c r="C42" s="338">
        <f>Balance!E188</f>
        <v>2100</v>
      </c>
      <c r="D42" s="117"/>
      <c r="E42" s="116"/>
      <c r="F42" s="328"/>
    </row>
    <row r="43" spans="1:6" ht="15" customHeight="1">
      <c r="A43" s="644">
        <f>Compte!A188</f>
        <v>6056</v>
      </c>
      <c r="B43" s="601" t="str">
        <f>Compte!B188</f>
        <v>Achats de petit matériel et outillage</v>
      </c>
      <c r="C43" s="338">
        <f>Balance!E189</f>
        <v>300</v>
      </c>
      <c r="D43" s="117"/>
      <c r="E43" s="116"/>
      <c r="F43" s="328"/>
    </row>
    <row r="44" spans="1:6" ht="15" customHeight="1">
      <c r="A44" s="644">
        <f>Compte!A189</f>
        <v>6057</v>
      </c>
      <c r="B44" s="601" t="str">
        <f>Compte!B189</f>
        <v>Achats d'études et prestations de services</v>
      </c>
      <c r="C44" s="338">
        <f>Balance!E190</f>
        <v>500</v>
      </c>
      <c r="D44" s="117"/>
      <c r="E44" s="116"/>
      <c r="F44" s="328"/>
    </row>
    <row r="45" spans="1:6" ht="15" customHeight="1">
      <c r="A45" s="644">
        <f>Compte!A190</f>
        <v>6064</v>
      </c>
      <c r="B45" s="601" t="str">
        <f>Compte!B190</f>
        <v>Fournitures administratives</v>
      </c>
      <c r="C45" s="338">
        <f>Balance!E191</f>
        <v>900</v>
      </c>
      <c r="D45" s="117"/>
      <c r="E45" s="116"/>
      <c r="F45" s="328"/>
    </row>
    <row r="46" spans="1:6" ht="15" customHeight="1">
      <c r="A46" s="644">
        <f>Compte!A191</f>
        <v>611</v>
      </c>
      <c r="B46" s="601" t="str">
        <f>Compte!B191</f>
        <v>Frais de transport sur achat</v>
      </c>
      <c r="C46" s="338">
        <f>Balance!E192</f>
        <v>500</v>
      </c>
      <c r="D46" s="117"/>
      <c r="E46" s="116"/>
      <c r="F46" s="328"/>
    </row>
    <row r="47" spans="1:6" ht="15" customHeight="1">
      <c r="A47" s="644">
        <f>Compte!A192</f>
        <v>621</v>
      </c>
      <c r="B47" s="601" t="str">
        <f>Compte!B192</f>
        <v>Charges de sous traitance</v>
      </c>
      <c r="C47" s="338">
        <f>Balance!E193</f>
        <v>500</v>
      </c>
      <c r="D47" s="117"/>
      <c r="E47" s="116"/>
      <c r="F47" s="328"/>
    </row>
    <row r="48" spans="1:6" ht="15" customHeight="1">
      <c r="A48" s="644">
        <f>Compte!A193</f>
        <v>622</v>
      </c>
      <c r="B48" s="601" t="str">
        <f>Compte!B193</f>
        <v>Location et charges locatives</v>
      </c>
      <c r="C48" s="338">
        <f>Balance!E194</f>
        <v>5500</v>
      </c>
      <c r="D48" s="645">
        <f>Compte!A288</f>
        <v>7073</v>
      </c>
      <c r="E48" s="433" t="str">
        <f>Compte!B288</f>
        <v>Locations</v>
      </c>
      <c r="F48" s="329">
        <f>-Balance!E289</f>
        <v>0</v>
      </c>
    </row>
    <row r="49" spans="1:6" ht="15" customHeight="1">
      <c r="A49" s="644">
        <f>Compte!A194</f>
        <v>6221</v>
      </c>
      <c r="B49" s="601" t="str">
        <f>Compte!B194</f>
        <v>Locations de terrains</v>
      </c>
      <c r="C49" s="338">
        <f>Balance!E195</f>
        <v>10000</v>
      </c>
      <c r="D49" s="645">
        <f>Compte!A289</f>
        <v>7074</v>
      </c>
      <c r="E49" s="433" t="str">
        <f>Compte!B289</f>
        <v>Boni/reprises, cess. emballages</v>
      </c>
      <c r="F49" s="329">
        <f>-Balance!E290</f>
        <v>20</v>
      </c>
    </row>
    <row r="50" spans="1:6" ht="15" customHeight="1">
      <c r="A50" s="644">
        <f>Compte!A195</f>
        <v>6222</v>
      </c>
      <c r="B50" s="601" t="str">
        <f>Compte!B195</f>
        <v>Locations de bâtiments</v>
      </c>
      <c r="C50" s="338">
        <f>Balance!E196</f>
        <v>800</v>
      </c>
      <c r="D50" s="645">
        <f>Compte!A290</f>
        <v>7075</v>
      </c>
      <c r="E50" s="433" t="str">
        <f>Compte!B290</f>
        <v>Mise à disposition de personnel</v>
      </c>
      <c r="F50" s="329">
        <f>-Balance!E291</f>
        <v>0</v>
      </c>
    </row>
    <row r="51" spans="1:6" ht="15" customHeight="1">
      <c r="A51" s="644">
        <f>Compte!A196</f>
        <v>6223</v>
      </c>
      <c r="B51" s="601" t="str">
        <f>Compte!B196</f>
        <v>Locations de matériels et outillages</v>
      </c>
      <c r="C51" s="338">
        <f>Balance!E197</f>
        <v>500</v>
      </c>
      <c r="D51" s="645">
        <f>Compte!A291</f>
        <v>7076</v>
      </c>
      <c r="E51" s="433" t="str">
        <f>Compte!B291</f>
        <v>Redevances brevets, logiciels</v>
      </c>
      <c r="F51" s="329">
        <f>-Balance!E292</f>
        <v>0</v>
      </c>
    </row>
    <row r="52" spans="1:6" ht="15" customHeight="1">
      <c r="A52" s="644">
        <f>Compte!A197</f>
        <v>6224</v>
      </c>
      <c r="B52" s="601" t="str">
        <f>Compte!B197</f>
        <v>Malis sur emballages</v>
      </c>
      <c r="C52" s="338">
        <f>Balance!E198</f>
        <v>0</v>
      </c>
      <c r="D52" s="645">
        <f>Compte!A292</f>
        <v>7100</v>
      </c>
      <c r="E52" s="433" t="str">
        <f>Compte!B292</f>
        <v>Subventions d'exploitation (export &amp; import)</v>
      </c>
      <c r="F52" s="329">
        <f>-Balance!E293</f>
        <v>0</v>
      </c>
    </row>
    <row r="53" spans="1:6" ht="15" customHeight="1">
      <c r="A53" s="644">
        <f>Compte!A198</f>
        <v>6232</v>
      </c>
      <c r="B53" s="601" t="str">
        <f>Compte!B198</f>
        <v>Crédit-bail immobilier &amp; mobilier</v>
      </c>
      <c r="C53" s="338">
        <f>Balance!E199</f>
        <v>500</v>
      </c>
      <c r="D53" s="645">
        <f>Compte!A293</f>
        <v>718</v>
      </c>
      <c r="E53" s="433" t="str">
        <f>Compte!B293</f>
        <v>Autres subventions exploitation</v>
      </c>
      <c r="F53" s="329">
        <f>-Balance!E294</f>
        <v>0</v>
      </c>
    </row>
    <row r="54" spans="1:6" ht="15" customHeight="1">
      <c r="A54" s="644">
        <f>Compte!A199</f>
        <v>6243</v>
      </c>
      <c r="B54" s="601" t="str">
        <f>Compte!B199</f>
        <v>Maintenance  des appareils et outillages et autres entretiens</v>
      </c>
      <c r="C54" s="338">
        <f>Balance!E200</f>
        <v>10500</v>
      </c>
      <c r="D54" s="117"/>
      <c r="E54" s="116"/>
      <c r="F54" s="328"/>
    </row>
    <row r="55" spans="1:6" ht="15" customHeight="1">
      <c r="A55" s="644">
        <f>Compte!A200</f>
        <v>6251</v>
      </c>
      <c r="B55" s="601" t="str">
        <f>Compte!B200</f>
        <v>Assurances multirisques</v>
      </c>
      <c r="C55" s="338">
        <f>Balance!E201</f>
        <v>220</v>
      </c>
      <c r="D55" s="117"/>
      <c r="E55" s="116"/>
      <c r="F55" s="328"/>
    </row>
    <row r="56" spans="1:6" ht="15" customHeight="1">
      <c r="A56" s="644">
        <f>Compte!A201</f>
        <v>6252</v>
      </c>
      <c r="B56" s="601" t="str">
        <f>Compte!B201</f>
        <v>Assurances matériel de transport</v>
      </c>
      <c r="C56" s="338">
        <f>Balance!E202</f>
        <v>230</v>
      </c>
      <c r="D56" s="117"/>
      <c r="E56" s="116"/>
      <c r="F56" s="328"/>
    </row>
    <row r="57" spans="1:6" ht="15" customHeight="1">
      <c r="A57" s="644">
        <f>Compte!A202</f>
        <v>6253</v>
      </c>
      <c r="B57" s="601" t="str">
        <f>Compte!B202</f>
        <v>Assurances risques d'exploitation</v>
      </c>
      <c r="C57" s="338">
        <f>Balance!E203</f>
        <v>240</v>
      </c>
      <c r="D57" s="117"/>
      <c r="E57" s="116"/>
      <c r="F57" s="328"/>
    </row>
    <row r="58" spans="1:6" ht="15" customHeight="1">
      <c r="A58" s="644">
        <f>Compte!A203</f>
        <v>6254</v>
      </c>
      <c r="B58" s="601" t="str">
        <f>Compte!B203</f>
        <v>Assurances responsabilité du producteur</v>
      </c>
      <c r="C58" s="338">
        <f>Balance!E204</f>
        <v>250</v>
      </c>
      <c r="D58" s="117"/>
      <c r="E58" s="116"/>
      <c r="F58" s="328"/>
    </row>
    <row r="59" spans="1:6" ht="15" customHeight="1">
      <c r="A59" s="644">
        <f>Compte!A204</f>
        <v>6255</v>
      </c>
      <c r="B59" s="601" t="str">
        <f>Compte!B204</f>
        <v>Assurances insolvabilité clients</v>
      </c>
      <c r="C59" s="338">
        <f>Balance!E205</f>
        <v>260</v>
      </c>
      <c r="D59" s="117"/>
      <c r="E59" s="116"/>
      <c r="F59" s="328"/>
    </row>
    <row r="60" spans="1:6" ht="15" customHeight="1">
      <c r="A60" s="644">
        <f>Compte!A205</f>
        <v>6256</v>
      </c>
      <c r="B60" s="601" t="str">
        <f>Compte!B205</f>
        <v>Assurances transport sur achats</v>
      </c>
      <c r="C60" s="338">
        <f>Balance!E206</f>
        <v>270</v>
      </c>
      <c r="D60" s="117"/>
      <c r="E60" s="116"/>
      <c r="F60" s="328"/>
    </row>
    <row r="61" spans="1:6" ht="15" customHeight="1">
      <c r="A61" s="644">
        <f>Compte!A206</f>
        <v>6257</v>
      </c>
      <c r="B61" s="601" t="str">
        <f>Compte!B206</f>
        <v>Assurances transport sur ventes</v>
      </c>
      <c r="C61" s="338">
        <f>Balance!E207</f>
        <v>280</v>
      </c>
      <c r="D61" s="117"/>
      <c r="E61" s="116"/>
      <c r="F61" s="328"/>
    </row>
    <row r="62" spans="1:6" ht="15" customHeight="1">
      <c r="A62" s="644">
        <f>Compte!A207</f>
        <v>6258</v>
      </c>
      <c r="B62" s="601" t="str">
        <f>Compte!B207</f>
        <v>Autres primes d'assurances</v>
      </c>
      <c r="C62" s="338">
        <f>Balance!E208</f>
        <v>290</v>
      </c>
      <c r="D62" s="117"/>
      <c r="E62" s="116"/>
      <c r="F62" s="328"/>
    </row>
    <row r="63" spans="1:6" ht="15" customHeight="1">
      <c r="A63" s="644">
        <f>Compte!A208</f>
        <v>6260</v>
      </c>
      <c r="B63" s="601" t="str">
        <f>Compte!B208</f>
        <v>frais d'étude et documentation</v>
      </c>
      <c r="C63" s="338">
        <f>Balance!E209</f>
        <v>800</v>
      </c>
      <c r="D63" s="117"/>
      <c r="E63" s="116"/>
      <c r="F63" s="328"/>
    </row>
    <row r="64" spans="1:6" ht="15" customHeight="1">
      <c r="A64" s="644">
        <f>Compte!A209</f>
        <v>6271</v>
      </c>
      <c r="B64" s="601" t="str">
        <f>Compte!B209</f>
        <v>Annonces, insertions</v>
      </c>
      <c r="C64" s="338">
        <f>Balance!E210</f>
        <v>800</v>
      </c>
      <c r="D64" s="117"/>
      <c r="E64" s="116"/>
      <c r="F64" s="328"/>
    </row>
    <row r="65" spans="1:6" ht="15" customHeight="1">
      <c r="A65" s="644">
        <f>Compte!A210</f>
        <v>6272</v>
      </c>
      <c r="B65" s="601" t="str">
        <f>Compte!B210</f>
        <v>Catalogues, imprimés publicitaires</v>
      </c>
      <c r="C65" s="338">
        <f>Balance!E211</f>
        <v>800</v>
      </c>
      <c r="D65" s="117"/>
      <c r="E65" s="116"/>
      <c r="F65" s="328"/>
    </row>
    <row r="66" spans="1:6" ht="15" customHeight="1">
      <c r="A66" s="644">
        <f>Compte!A211</f>
        <v>6274</v>
      </c>
      <c r="B66" s="601" t="str">
        <f>Compte!B211</f>
        <v>Foires et expositions</v>
      </c>
      <c r="C66" s="338">
        <f>Balance!E212</f>
        <v>800</v>
      </c>
      <c r="D66" s="117"/>
      <c r="E66" s="116"/>
      <c r="F66" s="328"/>
    </row>
    <row r="67" spans="1:6" ht="15" customHeight="1">
      <c r="A67" s="644">
        <f>Compte!A212</f>
        <v>6275</v>
      </c>
      <c r="B67" s="601" t="str">
        <f>Compte!B212</f>
        <v>Publications</v>
      </c>
      <c r="C67" s="338">
        <f>Balance!E213</f>
        <v>800</v>
      </c>
      <c r="D67" s="117"/>
      <c r="E67" s="116"/>
      <c r="F67" s="328"/>
    </row>
    <row r="68" spans="1:6" ht="15" customHeight="1">
      <c r="A68" s="644">
        <f>Compte!A213</f>
        <v>6276</v>
      </c>
      <c r="B68" s="601" t="str">
        <f>Compte!B213</f>
        <v>Cadeaux à la clientèle</v>
      </c>
      <c r="C68" s="338">
        <f>Balance!E214</f>
        <v>800</v>
      </c>
      <c r="D68" s="117"/>
      <c r="E68" s="116"/>
      <c r="F68" s="328"/>
    </row>
    <row r="69" spans="1:6" ht="15" customHeight="1">
      <c r="A69" s="644">
        <f>Compte!A214</f>
        <v>6277</v>
      </c>
      <c r="B69" s="601" t="str">
        <f>Compte!B214</f>
        <v>Frais de colloques, séminaires, conférences</v>
      </c>
      <c r="C69" s="338">
        <f>Balance!E215</f>
        <v>800</v>
      </c>
      <c r="D69" s="117"/>
      <c r="E69" s="116"/>
      <c r="F69" s="328"/>
    </row>
    <row r="70" spans="1:6" ht="15" customHeight="1">
      <c r="A70" s="644">
        <f>Compte!A215</f>
        <v>6278</v>
      </c>
      <c r="B70" s="601" t="str">
        <f>Compte!B215</f>
        <v>Autres charges de publicité et relations publiques</v>
      </c>
      <c r="C70" s="338">
        <f>Balance!E216</f>
        <v>800</v>
      </c>
      <c r="D70" s="117"/>
      <c r="E70" s="116"/>
      <c r="F70" s="328"/>
    </row>
    <row r="71" spans="1:6" ht="15" customHeight="1">
      <c r="A71" s="644">
        <f>Compte!A216</f>
        <v>6281</v>
      </c>
      <c r="B71" s="601" t="str">
        <f>Compte!B216</f>
        <v>Frais de téléphone</v>
      </c>
      <c r="C71" s="338">
        <f>Balance!E217</f>
        <v>800</v>
      </c>
      <c r="D71" s="117"/>
      <c r="E71" s="116"/>
      <c r="F71" s="328"/>
    </row>
    <row r="72" spans="1:6" ht="15" customHeight="1">
      <c r="A72" s="644">
        <f>Compte!A217</f>
        <v>6282</v>
      </c>
      <c r="B72" s="601" t="str">
        <f>Compte!B217</f>
        <v>Frais d'internet</v>
      </c>
      <c r="C72" s="338">
        <f>Balance!E218</f>
        <v>800</v>
      </c>
      <c r="D72" s="117"/>
      <c r="E72" s="116"/>
      <c r="F72" s="328"/>
    </row>
    <row r="73" spans="1:6" ht="15" customHeight="1">
      <c r="A73" s="644">
        <f>Compte!A218</f>
        <v>6283</v>
      </c>
      <c r="B73" s="601" t="str">
        <f>Compte!B218</f>
        <v>Frais de télécopie</v>
      </c>
      <c r="C73" s="338">
        <f>Balance!E219</f>
        <v>800</v>
      </c>
      <c r="D73" s="117"/>
      <c r="E73" s="116"/>
      <c r="F73" s="328"/>
    </row>
    <row r="74" spans="1:6" ht="15" customHeight="1">
      <c r="A74" s="644">
        <f>Compte!A219</f>
        <v>6288</v>
      </c>
      <c r="B74" s="601" t="str">
        <f>Compte!B219</f>
        <v>Autres frais de télécommunications</v>
      </c>
      <c r="C74" s="338">
        <f>Balance!E220</f>
        <v>800</v>
      </c>
      <c r="D74" s="117"/>
      <c r="E74" s="116"/>
      <c r="F74" s="328"/>
    </row>
    <row r="75" spans="1:6" ht="15" customHeight="1">
      <c r="A75" s="644">
        <f>Compte!A220</f>
        <v>6324</v>
      </c>
      <c r="B75" s="601" t="str">
        <f>Compte!B220</f>
        <v>Honoraires</v>
      </c>
      <c r="C75" s="338">
        <f>Balance!E221</f>
        <v>6300</v>
      </c>
      <c r="D75" s="117"/>
      <c r="E75" s="116"/>
      <c r="F75" s="328"/>
    </row>
    <row r="76" spans="1:6" ht="15" customHeight="1">
      <c r="A76" s="644">
        <f>Compte!A221</f>
        <v>6325</v>
      </c>
      <c r="B76" s="601" t="str">
        <f>Compte!B221</f>
        <v>Frais d'actes et de contentieux</v>
      </c>
      <c r="C76" s="338">
        <f>Balance!E222</f>
        <v>800</v>
      </c>
      <c r="D76" s="117"/>
      <c r="E76" s="116"/>
      <c r="F76" s="328"/>
    </row>
    <row r="77" spans="1:6" ht="15" customHeight="1">
      <c r="A77" s="644">
        <f>Compte!A222</f>
        <v>6328</v>
      </c>
      <c r="B77" s="601" t="str">
        <f>Compte!B222</f>
        <v>Divers frais</v>
      </c>
      <c r="C77" s="338">
        <f>Balance!E223</f>
        <v>800</v>
      </c>
      <c r="D77" s="117"/>
      <c r="E77" s="116"/>
      <c r="F77" s="328"/>
    </row>
    <row r="78" spans="1:6" ht="15" customHeight="1">
      <c r="A78" s="644">
        <f>Compte!A223</f>
        <v>6342</v>
      </c>
      <c r="B78" s="601" t="str">
        <f>Compte!B223</f>
        <v>Redevances pour brevets, licences, concessions et droits similaires</v>
      </c>
      <c r="C78" s="338">
        <f>Balance!E224</f>
        <v>800</v>
      </c>
      <c r="D78" s="117"/>
      <c r="E78" s="116"/>
      <c r="F78" s="328"/>
    </row>
    <row r="79" spans="1:6" ht="15" customHeight="1">
      <c r="A79" s="644">
        <f>Compte!A224</f>
        <v>6350</v>
      </c>
      <c r="B79" s="601" t="str">
        <f>Compte!B224</f>
        <v>Autres impôts, droit et autres enregistrements</v>
      </c>
      <c r="C79" s="338">
        <f>Balance!E225</f>
        <v>1400</v>
      </c>
      <c r="D79" s="117"/>
      <c r="E79" s="116"/>
      <c r="F79" s="328"/>
    </row>
    <row r="80" spans="1:6" ht="15" customHeight="1">
      <c r="A80" s="644">
        <f>Compte!A225</f>
        <v>6351</v>
      </c>
      <c r="B80" s="601" t="str">
        <f>Compte!B225</f>
        <v>Cotisations</v>
      </c>
      <c r="C80" s="338">
        <f>Balance!E226</f>
        <v>0</v>
      </c>
      <c r="D80" s="117"/>
      <c r="E80" s="116"/>
      <c r="F80" s="328"/>
    </row>
    <row r="81" spans="1:6" ht="15" customHeight="1">
      <c r="A81" s="644">
        <f>Compte!A226</f>
        <v>6611</v>
      </c>
      <c r="B81" s="601" t="str">
        <f>Compte!B226</f>
        <v>Appointements salaires et commissions</v>
      </c>
      <c r="C81" s="338">
        <f>Balance!E227</f>
        <v>200000</v>
      </c>
      <c r="D81" s="117"/>
      <c r="E81" s="116"/>
      <c r="F81" s="328"/>
    </row>
    <row r="82" spans="1:6" ht="15" customHeight="1">
      <c r="A82" s="644">
        <f>Compte!A227</f>
        <v>6612</v>
      </c>
      <c r="B82" s="601" t="str">
        <f>Compte!B227</f>
        <v>Primes et gratifications</v>
      </c>
      <c r="C82" s="338">
        <f>Balance!E228</f>
        <v>0</v>
      </c>
      <c r="D82" s="117"/>
      <c r="E82" s="116"/>
      <c r="F82" s="328"/>
    </row>
    <row r="83" spans="1:6" ht="15" customHeight="1">
      <c r="A83" s="644">
        <f>Compte!A228</f>
        <v>6613</v>
      </c>
      <c r="B83" s="601" t="str">
        <f>Compte!B228</f>
        <v>Congés payés</v>
      </c>
      <c r="C83" s="338">
        <f>Balance!E229</f>
        <v>0</v>
      </c>
      <c r="D83" s="117"/>
      <c r="E83" s="116"/>
      <c r="F83" s="328"/>
    </row>
    <row r="84" spans="1:6" ht="15" customHeight="1">
      <c r="A84" s="644">
        <f>Compte!A229</f>
        <v>6614</v>
      </c>
      <c r="B84" s="601" t="str">
        <f>Compte!B229</f>
        <v>Indemnités de préavis, de licenciement et de recherche d'embauche</v>
      </c>
      <c r="C84" s="338">
        <f>Balance!E230</f>
        <v>0</v>
      </c>
      <c r="D84" s="117"/>
      <c r="E84" s="116"/>
      <c r="F84" s="328"/>
    </row>
    <row r="85" spans="1:6" ht="15" customHeight="1">
      <c r="A85" s="644">
        <f>Compte!A230</f>
        <v>6615</v>
      </c>
      <c r="B85" s="601" t="str">
        <f>Compte!B230</f>
        <v>Indemnités de maladie versées aux travailleurs</v>
      </c>
      <c r="C85" s="338">
        <f>Balance!E231</f>
        <v>0</v>
      </c>
      <c r="D85" s="117"/>
      <c r="E85" s="116"/>
      <c r="F85" s="328"/>
    </row>
    <row r="86" spans="1:6" ht="15" customHeight="1">
      <c r="A86" s="644">
        <f>Compte!A231</f>
        <v>6616</v>
      </c>
      <c r="B86" s="601" t="str">
        <f>Compte!B231</f>
        <v>Supplément familial</v>
      </c>
      <c r="C86" s="338">
        <f>Balance!E232</f>
        <v>0</v>
      </c>
      <c r="D86" s="117"/>
      <c r="E86" s="116"/>
      <c r="F86" s="328"/>
    </row>
    <row r="87" spans="1:6" ht="15" customHeight="1">
      <c r="A87" s="644">
        <f>Compte!A232</f>
        <v>6617</v>
      </c>
      <c r="B87" s="601" t="str">
        <f>Compte!B232</f>
        <v>Avantages en nature</v>
      </c>
      <c r="C87" s="338">
        <f>Balance!E233</f>
        <v>0</v>
      </c>
      <c r="D87" s="117"/>
      <c r="E87" s="116"/>
      <c r="F87" s="328"/>
    </row>
    <row r="88" spans="1:6" ht="15" customHeight="1">
      <c r="A88" s="644">
        <f>Compte!A233</f>
        <v>6618</v>
      </c>
      <c r="B88" s="601" t="str">
        <f>Compte!B233</f>
        <v>Autres rémunérations directes</v>
      </c>
      <c r="C88" s="338">
        <f>Balance!E234</f>
        <v>0</v>
      </c>
      <c r="D88" s="117"/>
      <c r="E88" s="116"/>
      <c r="F88" s="328"/>
    </row>
    <row r="89" spans="1:6" ht="15" customHeight="1">
      <c r="A89" s="644">
        <f>Compte!A234</f>
        <v>6640</v>
      </c>
      <c r="B89" s="601" t="str">
        <f>Compte!B234</f>
        <v>Charges sociales</v>
      </c>
      <c r="C89" s="338">
        <f>Balance!E235</f>
        <v>0</v>
      </c>
      <c r="D89" s="117"/>
      <c r="E89" s="116"/>
      <c r="F89" s="328"/>
    </row>
    <row r="90" spans="1:6" ht="15" customHeight="1">
      <c r="A90" s="644">
        <f>Compte!A235</f>
        <v>6661</v>
      </c>
      <c r="B90" s="601" t="str">
        <f>Compte!B235</f>
        <v>Rémunérations. travail l'exploitant</v>
      </c>
      <c r="C90" s="338">
        <f>Balance!E236</f>
        <v>0</v>
      </c>
      <c r="D90" s="117"/>
      <c r="E90" s="116"/>
      <c r="F90" s="328"/>
    </row>
    <row r="91" spans="1:6" ht="15" customHeight="1">
      <c r="A91" s="644">
        <f>Compte!A236</f>
        <v>6662</v>
      </c>
      <c r="B91" s="601" t="str">
        <f>Compte!B236</f>
        <v>Charges sociales</v>
      </c>
      <c r="C91" s="338">
        <f>Balance!E237</f>
        <v>70000</v>
      </c>
      <c r="D91" s="117"/>
      <c r="E91" s="116"/>
      <c r="F91" s="328"/>
    </row>
    <row r="92" spans="1:6" ht="15" customHeight="1">
      <c r="A92" s="257"/>
      <c r="B92" s="121" t="s">
        <v>253</v>
      </c>
      <c r="C92" s="339">
        <f>F93-SUM(C38:C91)</f>
        <v>71000</v>
      </c>
      <c r="D92" s="117"/>
      <c r="E92" s="116"/>
      <c r="F92" s="328"/>
    </row>
    <row r="93" spans="1:6" ht="15" customHeight="1">
      <c r="A93" s="257"/>
      <c r="B93" s="122" t="s">
        <v>15</v>
      </c>
      <c r="C93" s="340">
        <f>SUM(C38:C92)</f>
        <v>397040</v>
      </c>
      <c r="D93" s="117"/>
      <c r="E93" s="124" t="s">
        <v>15</v>
      </c>
      <c r="F93" s="332">
        <f>SUM(F36:F92)</f>
        <v>397040</v>
      </c>
    </row>
    <row r="94" spans="1:6" ht="15" customHeight="1">
      <c r="A94" s="257"/>
      <c r="B94" s="116"/>
      <c r="C94" s="337"/>
      <c r="D94" s="117"/>
      <c r="E94" s="121" t="s">
        <v>253</v>
      </c>
      <c r="F94" s="331">
        <f>C92</f>
        <v>71000</v>
      </c>
    </row>
    <row r="95" spans="1:6" ht="15" customHeight="1">
      <c r="A95" s="257"/>
      <c r="B95" s="116"/>
      <c r="C95" s="337"/>
      <c r="D95" s="117"/>
      <c r="E95" s="118"/>
      <c r="F95" s="333"/>
    </row>
    <row r="96" spans="1:6" ht="15" customHeight="1">
      <c r="A96" s="651"/>
      <c r="B96" s="79"/>
      <c r="C96" s="335"/>
      <c r="D96" s="335"/>
      <c r="E96" s="335"/>
      <c r="F96" s="652"/>
    </row>
    <row r="97" spans="1:6" ht="15" customHeight="1">
      <c r="A97" s="653" t="s">
        <v>1177</v>
      </c>
      <c r="B97" s="79"/>
      <c r="C97" s="335"/>
      <c r="D97" s="639" t="s">
        <v>1178</v>
      </c>
      <c r="E97" s="335"/>
      <c r="F97" s="652"/>
    </row>
    <row r="98" spans="1:6" ht="15" customHeight="1">
      <c r="A98" s="644">
        <f>Compte!A174</f>
        <v>6730</v>
      </c>
      <c r="B98" s="601" t="str">
        <f>Compte!B174</f>
        <v>Escomptes accordés à taux réduit</v>
      </c>
      <c r="C98" s="338">
        <f>Balance!E175/(1+Balance!D381)</f>
        <v>0</v>
      </c>
      <c r="D98" s="433">
        <f>Compte!A279</f>
        <v>7730</v>
      </c>
      <c r="E98" s="433" t="str">
        <f>Compte!B279</f>
        <v>Escomptes obtenus à taux réduit</v>
      </c>
      <c r="F98" s="329">
        <f>-Balance!E280</f>
        <v>10</v>
      </c>
    </row>
    <row r="99" spans="1:6" ht="15" customHeight="1">
      <c r="A99" s="644">
        <f>Compte!A175</f>
        <v>6731</v>
      </c>
      <c r="B99" s="601" t="str">
        <f>Compte!B175</f>
        <v>Escomptes accordés à taux normal</v>
      </c>
      <c r="C99" s="338">
        <f>Balance!E176/(1+Balance!D382)</f>
        <v>46.413502109704638</v>
      </c>
      <c r="D99" s="433">
        <f>Compte!A280</f>
        <v>7731</v>
      </c>
      <c r="E99" s="433" t="str">
        <f>Compte!B280</f>
        <v>Escomptes obtenus à taux normal</v>
      </c>
      <c r="F99" s="329">
        <f>-Balance!E281</f>
        <v>0</v>
      </c>
    </row>
    <row r="100" spans="1:6" ht="15" customHeight="1">
      <c r="A100" s="644">
        <f>Compte!A176</f>
        <v>6732</v>
      </c>
      <c r="B100" s="601" t="str">
        <f>Compte!B176</f>
        <v>Escomptes accordés à taux fort</v>
      </c>
      <c r="C100" s="338">
        <f>Balance!E177/(1+Balance!D383)</f>
        <v>0</v>
      </c>
      <c r="D100" s="433">
        <f>Compte!A281</f>
        <v>7732</v>
      </c>
      <c r="E100" s="433" t="str">
        <f>Compte!B281</f>
        <v>Escomptes obtenus à taux fort</v>
      </c>
      <c r="F100" s="329">
        <f>-Balance!E282</f>
        <v>0</v>
      </c>
    </row>
    <row r="101" spans="1:6" ht="15" customHeight="1">
      <c r="A101" s="644">
        <f>Compte!A237</f>
        <v>6710</v>
      </c>
      <c r="B101" s="601" t="str">
        <f>Compte!B237</f>
        <v>Intérêts des emprunts</v>
      </c>
      <c r="C101" s="342">
        <f>Balance!E238</f>
        <v>25000</v>
      </c>
      <c r="D101" s="433">
        <f>Compte!A294</f>
        <v>771</v>
      </c>
      <c r="E101" s="433" t="str">
        <f>Compte!B294</f>
        <v>Intérêts de prêts accordés</v>
      </c>
      <c r="F101" s="329">
        <f>-Balance!E295</f>
        <v>10400</v>
      </c>
    </row>
    <row r="102" spans="1:6" ht="15" customHeight="1">
      <c r="A102" s="644">
        <f>Compte!A238</f>
        <v>6740</v>
      </c>
      <c r="B102" s="601" t="str">
        <f>Compte!B238</f>
        <v>Autres charges financière et intérêts</v>
      </c>
      <c r="C102" s="342">
        <f>Balance!E239</f>
        <v>1650</v>
      </c>
      <c r="D102" s="433">
        <f>Compte!A295</f>
        <v>772</v>
      </c>
      <c r="E102" s="433" t="str">
        <f>Compte!B295</f>
        <v>Revenus de participations</v>
      </c>
      <c r="F102" s="329">
        <f>-Balance!E296</f>
        <v>0</v>
      </c>
    </row>
    <row r="103" spans="1:6" ht="15" customHeight="1">
      <c r="A103" s="644">
        <f>Compte!A239</f>
        <v>6760</v>
      </c>
      <c r="B103" s="601" t="str">
        <f>Compte!B239</f>
        <v>Pertes de change</v>
      </c>
      <c r="C103" s="342">
        <f>Balance!E240</f>
        <v>1000</v>
      </c>
      <c r="D103" s="433">
        <f>Compte!A296</f>
        <v>774</v>
      </c>
      <c r="E103" s="433" t="str">
        <f>Compte!B296</f>
        <v>Revenus de titres de placement</v>
      </c>
      <c r="F103" s="329">
        <f>-Balance!E297</f>
        <v>2400</v>
      </c>
    </row>
    <row r="104" spans="1:6" ht="15" customHeight="1">
      <c r="A104" s="644">
        <f>Compte!A240</f>
        <v>6770</v>
      </c>
      <c r="B104" s="601" t="str">
        <f>Compte!B240</f>
        <v>Pertes sur cessions de titres placement</v>
      </c>
      <c r="C104" s="342">
        <f>Balance!E241</f>
        <v>200</v>
      </c>
      <c r="D104" s="433">
        <f>Compte!A297</f>
        <v>776</v>
      </c>
      <c r="E104" s="433" t="str">
        <f>Compte!B297</f>
        <v>Gains de change</v>
      </c>
      <c r="F104" s="329">
        <f>-Balance!E298</f>
        <v>1000</v>
      </c>
    </row>
    <row r="105" spans="1:6" ht="15" customHeight="1">
      <c r="A105" s="644">
        <f>Compte!A241</f>
        <v>6812</v>
      </c>
      <c r="B105" s="601" t="str">
        <f>Compte!B241</f>
        <v>Dotations aux amortissements des immobilisations incorporelles</v>
      </c>
      <c r="C105" s="342">
        <f>Balance!E242</f>
        <v>3000</v>
      </c>
      <c r="D105" s="433">
        <f>Compte!A298</f>
        <v>777</v>
      </c>
      <c r="E105" s="433" t="str">
        <f>Compte!B298</f>
        <v>Gains Cessions titres placement</v>
      </c>
      <c r="F105" s="329">
        <f>-Balance!E299</f>
        <v>26100</v>
      </c>
    </row>
    <row r="106" spans="1:6" ht="15" customHeight="1">
      <c r="A106" s="644">
        <f>Compte!A242</f>
        <v>6813</v>
      </c>
      <c r="B106" s="601" t="str">
        <f>Compte!B242</f>
        <v>Dotations aux amortissements des immobilisations corporelles</v>
      </c>
      <c r="C106" s="342">
        <f>Balance!E243</f>
        <v>10000</v>
      </c>
      <c r="D106" s="433">
        <f>Compte!A299</f>
        <v>778</v>
      </c>
      <c r="E106" s="433" t="str">
        <f>Compte!B299</f>
        <v>Gains sur risques financiers</v>
      </c>
      <c r="F106" s="329">
        <f>-Balance!E300</f>
        <v>0</v>
      </c>
    </row>
    <row r="107" spans="1:6" ht="15" customHeight="1">
      <c r="A107" s="644">
        <f>Compte!A243</f>
        <v>6870</v>
      </c>
      <c r="B107" s="601" t="str">
        <f>Compte!B243</f>
        <v>Dot. amort.à caractère financier</v>
      </c>
      <c r="C107" s="342">
        <f>Balance!E244</f>
        <v>0</v>
      </c>
      <c r="D107" s="433">
        <f>Compte!A300</f>
        <v>7791</v>
      </c>
      <c r="E107" s="433" t="str">
        <f>Compte!B300</f>
        <v>Reprise Sur risques financiers</v>
      </c>
      <c r="F107" s="329">
        <f>-Balance!E301</f>
        <v>3000</v>
      </c>
    </row>
    <row r="108" spans="1:6" ht="15" customHeight="1">
      <c r="A108" s="644">
        <f>Compte!A244</f>
        <v>6970</v>
      </c>
      <c r="B108" s="601" t="str">
        <f>Compte!B244</f>
        <v>Dotat. aux provis. Financières</v>
      </c>
      <c r="C108" s="342">
        <f>Balance!E245</f>
        <v>13000</v>
      </c>
      <c r="D108" s="433">
        <f>Compte!A301</f>
        <v>7795</v>
      </c>
      <c r="E108" s="433" t="str">
        <f>Compte!B301</f>
        <v>Reprises Sur titres de placement</v>
      </c>
      <c r="F108" s="329">
        <f>-Balance!E302</f>
        <v>0</v>
      </c>
    </row>
    <row r="109" spans="1:6" ht="15" customHeight="1">
      <c r="A109" s="260"/>
      <c r="B109" s="121" t="s">
        <v>507</v>
      </c>
      <c r="C109" s="339">
        <f>F110-SUM(C96:C108)</f>
        <v>60013.586497890297</v>
      </c>
      <c r="D109" s="116"/>
      <c r="E109" s="116"/>
      <c r="F109" s="328"/>
    </row>
    <row r="110" spans="1:6" ht="15" customHeight="1">
      <c r="A110" s="260"/>
      <c r="B110" s="122" t="s">
        <v>15</v>
      </c>
      <c r="C110" s="340">
        <f>SUM(C96:C109)</f>
        <v>113910</v>
      </c>
      <c r="D110" s="117"/>
      <c r="E110" s="124" t="s">
        <v>15</v>
      </c>
      <c r="F110" s="332">
        <f>SUM(F94:F108)</f>
        <v>113910</v>
      </c>
    </row>
    <row r="111" spans="1:6" ht="15" customHeight="1">
      <c r="A111" s="260"/>
      <c r="B111" s="116"/>
      <c r="C111" s="337"/>
      <c r="D111" s="117"/>
      <c r="E111" s="121" t="s">
        <v>507</v>
      </c>
      <c r="F111" s="331">
        <f>C109</f>
        <v>60013.586497890297</v>
      </c>
    </row>
    <row r="112" spans="1:6" ht="15" customHeight="1">
      <c r="A112" s="654" t="s">
        <v>508</v>
      </c>
      <c r="B112" s="642"/>
      <c r="C112" s="343"/>
      <c r="D112" s="119"/>
      <c r="E112" s="640"/>
      <c r="F112" s="641"/>
    </row>
    <row r="113" spans="1:6" ht="15" customHeight="1">
      <c r="A113" s="646">
        <f>Compte!A245</f>
        <v>830</v>
      </c>
      <c r="B113" s="647" t="str">
        <f>Compte!B245</f>
        <v>Charges hors activité ordinaire</v>
      </c>
      <c r="C113" s="343">
        <f>Balance!E246</f>
        <v>2000</v>
      </c>
      <c r="D113" s="642" t="s">
        <v>509</v>
      </c>
      <c r="E113" s="642"/>
      <c r="F113" s="641"/>
    </row>
    <row r="114" spans="1:6" ht="15" customHeight="1">
      <c r="A114" s="646">
        <f>Compte!A246</f>
        <v>831</v>
      </c>
      <c r="B114" s="647" t="str">
        <f>Compte!B246</f>
        <v>Perte sur créance devenue irrécouvrable</v>
      </c>
      <c r="C114" s="343">
        <f>Balance!E247</f>
        <v>0</v>
      </c>
      <c r="D114" s="647">
        <f>Compte!A302</f>
        <v>8210</v>
      </c>
      <c r="E114" s="647" t="str">
        <f>Compte!B302</f>
        <v>Produit de cession sur les immob. Incorporelles</v>
      </c>
      <c r="F114" s="334">
        <f>-Balance!E303</f>
        <v>0</v>
      </c>
    </row>
    <row r="115" spans="1:6" ht="15" customHeight="1">
      <c r="A115" s="646">
        <f>Compte!A247</f>
        <v>835</v>
      </c>
      <c r="B115" s="647" t="str">
        <f>Compte!B247</f>
        <v>Dons et libéralités accordés</v>
      </c>
      <c r="C115" s="343">
        <f>Balance!E248</f>
        <v>0</v>
      </c>
      <c r="D115" s="647">
        <f>Compte!A303</f>
        <v>8220</v>
      </c>
      <c r="E115" s="647" t="str">
        <f>Compte!B303</f>
        <v>Produit de cession sur les immob. Corporelles</v>
      </c>
      <c r="F115" s="334">
        <f>-Balance!E304</f>
        <v>88000</v>
      </c>
    </row>
    <row r="116" spans="1:6" ht="15" customHeight="1">
      <c r="A116" s="646">
        <f>Compte!A248</f>
        <v>8393</v>
      </c>
      <c r="B116" s="647" t="str">
        <f>Compte!B248</f>
        <v>Charges provisionnées H.A.O. Stocks</v>
      </c>
      <c r="C116" s="343">
        <f>Balance!E249</f>
        <v>0</v>
      </c>
      <c r="D116" s="647">
        <f>Compte!A304</f>
        <v>8230</v>
      </c>
      <c r="E116" s="647" t="str">
        <f>Compte!B304</f>
        <v>Produit de cession sur les immob. Financ.</v>
      </c>
      <c r="F116" s="334">
        <f>-Balance!E305</f>
        <v>430</v>
      </c>
    </row>
    <row r="117" spans="1:6" ht="15" customHeight="1">
      <c r="A117" s="646">
        <f>Compte!A249</f>
        <v>8394</v>
      </c>
      <c r="B117" s="647" t="str">
        <f>Compte!B249</f>
        <v>Charges provisionnées H.A.O. Tiers</v>
      </c>
      <c r="C117" s="343">
        <f>Balance!E250</f>
        <v>0</v>
      </c>
      <c r="D117" s="647">
        <f>Compte!A305</f>
        <v>840</v>
      </c>
      <c r="E117" s="647" t="str">
        <f>Compte!B305</f>
        <v>Produits hors activité ordinaire</v>
      </c>
      <c r="F117" s="334">
        <f>-Balance!E306</f>
        <v>1000</v>
      </c>
    </row>
    <row r="118" spans="1:6" ht="15" customHeight="1">
      <c r="A118" s="646">
        <f>Compte!A250</f>
        <v>8395</v>
      </c>
      <c r="B118" s="647" t="str">
        <f>Compte!B250</f>
        <v>Charges provisionnées H.A.O. Trésorerie</v>
      </c>
      <c r="C118" s="343">
        <f>Balance!E251</f>
        <v>0</v>
      </c>
      <c r="D118" s="647">
        <f>Compte!A306</f>
        <v>845</v>
      </c>
      <c r="E118" s="647" t="str">
        <f>Compte!B306</f>
        <v>Dons et libéralités obtenus</v>
      </c>
      <c r="F118" s="334">
        <f>-Balance!E307</f>
        <v>0</v>
      </c>
    </row>
    <row r="119" spans="1:6" ht="15" customHeight="1">
      <c r="A119" s="646">
        <f>Compte!A251</f>
        <v>811</v>
      </c>
      <c r="B119" s="647" t="str">
        <f>Compte!B251</f>
        <v>Valeurs comptables cess. Immob incorpo</v>
      </c>
      <c r="C119" s="343">
        <f>Balance!E252</f>
        <v>0</v>
      </c>
      <c r="D119" s="647">
        <f>Compte!A307</f>
        <v>849</v>
      </c>
      <c r="E119" s="647" t="str">
        <f>Compte!B307</f>
        <v>Reprises sur Charges provisionnées H.A.O.</v>
      </c>
      <c r="F119" s="334">
        <f>-Balance!E308</f>
        <v>10000</v>
      </c>
    </row>
    <row r="120" spans="1:6" ht="15" customHeight="1">
      <c r="A120" s="646">
        <f>Compte!A252</f>
        <v>812</v>
      </c>
      <c r="B120" s="647" t="str">
        <f>Compte!B252</f>
        <v>Valeurs comptables cess. Immob. Corpo</v>
      </c>
      <c r="C120" s="343">
        <f>Balance!E253</f>
        <v>65500</v>
      </c>
      <c r="D120" s="647">
        <f>Compte!A308</f>
        <v>861</v>
      </c>
      <c r="E120" s="647" t="str">
        <f>Compte!B308</f>
        <v>Reprises provisions réglementées</v>
      </c>
      <c r="F120" s="334">
        <f>-Balance!E309</f>
        <v>0</v>
      </c>
    </row>
    <row r="121" spans="1:6" ht="15" customHeight="1">
      <c r="A121" s="646">
        <f>Compte!A253</f>
        <v>813</v>
      </c>
      <c r="B121" s="647" t="str">
        <f>Compte!B253</f>
        <v>Valeurs comptables cess. Immob. Finan</v>
      </c>
      <c r="C121" s="343">
        <f>Balance!E254</f>
        <v>300</v>
      </c>
      <c r="D121" s="647">
        <f>Compte!A309</f>
        <v>862</v>
      </c>
      <c r="E121" s="647" t="str">
        <f>Compte!B309</f>
        <v>Reprises d'amortissements H.A.O.</v>
      </c>
      <c r="F121" s="334">
        <f>-Balance!E310</f>
        <v>0</v>
      </c>
    </row>
    <row r="122" spans="1:6" ht="15" customHeight="1">
      <c r="A122" s="646">
        <f>Compte!A254</f>
        <v>851</v>
      </c>
      <c r="B122" s="647" t="str">
        <f>Compte!B254</f>
        <v>Dotat. aux amort et prov.  Immob incorpo</v>
      </c>
      <c r="C122" s="343">
        <f>Balance!E255</f>
        <v>0</v>
      </c>
      <c r="D122" s="647">
        <f>Compte!A310</f>
        <v>863</v>
      </c>
      <c r="E122" s="647" t="str">
        <f>Compte!B310</f>
        <v>Repris. provis. dépréc. H.A.O.</v>
      </c>
      <c r="F122" s="334">
        <f>-Balance!E311</f>
        <v>0</v>
      </c>
    </row>
    <row r="123" spans="1:6" ht="15" customHeight="1">
      <c r="A123" s="646">
        <f>Compte!A255</f>
        <v>852</v>
      </c>
      <c r="B123" s="647" t="str">
        <f>Compte!B255</f>
        <v>Dotat. aux amort et prov.  Immob corpo</v>
      </c>
      <c r="C123" s="343">
        <f>Balance!E256</f>
        <v>0</v>
      </c>
      <c r="D123" s="648">
        <f>Compte!A311</f>
        <v>868</v>
      </c>
      <c r="E123" s="648" t="str">
        <f>Compte!B311</f>
        <v>Autres Reprises H.A.O.</v>
      </c>
      <c r="F123" s="600">
        <f>-Balance!E312</f>
        <v>0</v>
      </c>
    </row>
    <row r="124" spans="1:6" ht="15" customHeight="1">
      <c r="A124" s="646">
        <f>Compte!A256</f>
        <v>853</v>
      </c>
      <c r="B124" s="647" t="str">
        <f>Compte!B256</f>
        <v>Dotat. aux amort et prov.  Immob finan</v>
      </c>
      <c r="C124" s="599">
        <f>Balance!E257</f>
        <v>0</v>
      </c>
      <c r="D124" s="601"/>
      <c r="E124" s="601"/>
      <c r="F124" s="655"/>
    </row>
    <row r="125" spans="1:6" ht="15" customHeight="1">
      <c r="A125" s="260"/>
      <c r="B125" s="120"/>
      <c r="C125" s="341"/>
      <c r="D125" s="120"/>
      <c r="E125" s="116"/>
      <c r="F125" s="328"/>
    </row>
    <row r="126" spans="1:6" ht="15" customHeight="1">
      <c r="A126" s="260"/>
      <c r="B126" s="120"/>
      <c r="C126" s="341"/>
      <c r="D126" s="120"/>
      <c r="E126" s="116"/>
      <c r="F126" s="328"/>
    </row>
    <row r="127" spans="1:6" ht="15" customHeight="1">
      <c r="A127" s="257"/>
      <c r="B127" s="121" t="s">
        <v>510</v>
      </c>
      <c r="C127" s="339">
        <f>F128-SUM(C113:C126)</f>
        <v>91643.586497890297</v>
      </c>
      <c r="D127" s="120"/>
      <c r="E127" s="116"/>
      <c r="F127" s="328"/>
    </row>
    <row r="128" spans="1:6" ht="15" customHeight="1">
      <c r="A128" s="257"/>
      <c r="B128" s="124" t="s">
        <v>15</v>
      </c>
      <c r="C128" s="344">
        <f>SUM(C113:C127)</f>
        <v>159443.5864978903</v>
      </c>
      <c r="D128" s="125"/>
      <c r="E128" s="124" t="s">
        <v>15</v>
      </c>
      <c r="F128" s="332">
        <f>SUM(F111:F124)</f>
        <v>159443.5864978903</v>
      </c>
    </row>
    <row r="129" spans="1:6" ht="15" customHeight="1">
      <c r="A129" s="257"/>
      <c r="B129" s="116"/>
      <c r="C129" s="337"/>
      <c r="D129" s="117"/>
      <c r="E129" s="116"/>
      <c r="F129" s="328"/>
    </row>
    <row r="130" spans="1:6" ht="15" customHeight="1" thickBot="1">
      <c r="A130" s="656"/>
      <c r="B130" s="657"/>
      <c r="C130" s="657"/>
      <c r="D130" s="657"/>
      <c r="E130" s="657"/>
      <c r="F130" s="658"/>
    </row>
    <row r="131" spans="1:6" ht="15" customHeight="1">
      <c r="A131" s="643"/>
      <c r="B131" s="643"/>
      <c r="C131" s="643"/>
      <c r="D131" s="643"/>
      <c r="E131" s="643"/>
      <c r="F131" s="643"/>
    </row>
    <row r="132" spans="1:6" ht="15" customHeight="1">
      <c r="A132" s="1646" t="s">
        <v>1180</v>
      </c>
      <c r="B132" s="1647"/>
      <c r="C132" s="1647"/>
      <c r="D132" s="1647"/>
      <c r="E132" s="1647"/>
      <c r="F132" s="1647"/>
    </row>
    <row r="133" spans="1:6" ht="15" customHeight="1">
      <c r="A133" s="603"/>
      <c r="B133" s="659" t="s">
        <v>1119</v>
      </c>
      <c r="C133" s="660"/>
      <c r="D133" s="660"/>
      <c r="E133" s="659" t="s">
        <v>1120</v>
      </c>
      <c r="F133" s="660"/>
    </row>
    <row r="134" spans="1:6" ht="15" customHeight="1">
      <c r="A134" s="603"/>
      <c r="B134" s="660" t="s">
        <v>1179</v>
      </c>
      <c r="C134" s="661">
        <f>SUM(C5:C24)</f>
        <v>824710</v>
      </c>
      <c r="D134" s="660"/>
      <c r="E134" s="660" t="s">
        <v>1189</v>
      </c>
      <c r="F134" s="661">
        <f>SUM(F5:F26)</f>
        <v>1150230</v>
      </c>
    </row>
    <row r="135" spans="1:6" ht="15" customHeight="1">
      <c r="A135" s="603"/>
      <c r="B135" s="660" t="s">
        <v>1131</v>
      </c>
      <c r="C135" s="661">
        <f>SUM(B38:C78)+C80</f>
        <v>54640</v>
      </c>
      <c r="D135" s="660"/>
      <c r="E135" s="660" t="s">
        <v>1190</v>
      </c>
      <c r="F135" s="661">
        <f>F32</f>
        <v>1500</v>
      </c>
    </row>
    <row r="136" spans="1:6" ht="15" customHeight="1">
      <c r="A136" s="603"/>
      <c r="B136" s="660" t="s">
        <v>1181</v>
      </c>
      <c r="C136" s="661">
        <f>SUM(C79)</f>
        <v>1400</v>
      </c>
      <c r="D136" s="660"/>
      <c r="E136" s="660" t="s">
        <v>1174</v>
      </c>
      <c r="F136" s="661">
        <f>SUM(F27:F31)</f>
        <v>70000</v>
      </c>
    </row>
    <row r="137" spans="1:6" ht="15" customHeight="1">
      <c r="A137" s="603"/>
      <c r="B137" s="660" t="s">
        <v>1182</v>
      </c>
      <c r="C137" s="661">
        <f>SUM(C81:C90)</f>
        <v>200000</v>
      </c>
      <c r="D137" s="660"/>
      <c r="E137" s="660" t="s">
        <v>1191</v>
      </c>
      <c r="F137" s="661">
        <f>F52+F53</f>
        <v>0</v>
      </c>
    </row>
    <row r="138" spans="1:6" ht="15" customHeight="1">
      <c r="A138" s="603"/>
      <c r="B138" s="660" t="s">
        <v>1183</v>
      </c>
      <c r="C138" s="661">
        <f>C91</f>
        <v>70000</v>
      </c>
      <c r="D138" s="660"/>
      <c r="E138" s="660" t="s">
        <v>1192</v>
      </c>
      <c r="F138" s="661">
        <f>SUM(F48:F51)+SUM(F53)</f>
        <v>20</v>
      </c>
    </row>
    <row r="139" spans="1:6" ht="15" customHeight="1">
      <c r="A139" s="603"/>
      <c r="B139" s="660" t="s">
        <v>1184</v>
      </c>
      <c r="C139" s="661"/>
      <c r="D139" s="660"/>
      <c r="E139" s="660" t="s">
        <v>1193</v>
      </c>
      <c r="F139" s="661">
        <f>SUM(F98:F106)</f>
        <v>39910</v>
      </c>
    </row>
    <row r="140" spans="1:6" ht="15" customHeight="1">
      <c r="A140" s="603"/>
      <c r="B140" s="660" t="s">
        <v>1185</v>
      </c>
      <c r="C140" s="661">
        <f>SUM(C98:C104)</f>
        <v>27896.413502109706</v>
      </c>
      <c r="D140" s="660"/>
      <c r="E140" s="660" t="s">
        <v>1194</v>
      </c>
      <c r="F140" s="661">
        <f>SUM(F114:F118)</f>
        <v>89430</v>
      </c>
    </row>
    <row r="141" spans="1:6" ht="15" customHeight="1">
      <c r="A141" s="603"/>
      <c r="B141" s="660" t="s">
        <v>1186</v>
      </c>
      <c r="C141" s="661">
        <f>SUM(C113:C121)</f>
        <v>67800</v>
      </c>
      <c r="D141" s="660"/>
      <c r="E141" s="660" t="s">
        <v>1195</v>
      </c>
      <c r="F141" s="661">
        <f>SUM(F107:F108)+SUM(F119:F123)</f>
        <v>13000</v>
      </c>
    </row>
    <row r="142" spans="1:6" ht="15" customHeight="1">
      <c r="A142" s="603"/>
      <c r="B142" s="660" t="s">
        <v>1187</v>
      </c>
      <c r="C142" s="661">
        <f>SUM(C105:C108)+SUM(C122:C124)</f>
        <v>26000</v>
      </c>
      <c r="D142" s="660"/>
      <c r="E142" s="660"/>
      <c r="F142" s="660"/>
    </row>
    <row r="143" spans="1:6" ht="15" customHeight="1">
      <c r="A143" s="603"/>
      <c r="B143" s="660" t="s">
        <v>1188</v>
      </c>
      <c r="C143" s="661"/>
      <c r="D143" s="660"/>
      <c r="E143" s="662" t="s">
        <v>1196</v>
      </c>
      <c r="F143" s="663">
        <f>SUM(F134:F141)-SUM(C134:C143)</f>
        <v>91643.586497890297</v>
      </c>
    </row>
    <row r="144" spans="1:6" ht="15" customHeight="1">
      <c r="A144" s="603"/>
      <c r="B144" s="664" t="s">
        <v>1121</v>
      </c>
      <c r="C144" s="664"/>
      <c r="D144" s="664"/>
      <c r="E144" s="665"/>
      <c r="F144" s="665"/>
    </row>
    <row r="145" spans="1:6" ht="15" customHeight="1">
      <c r="A145" s="603"/>
      <c r="B145" s="666" t="s">
        <v>1122</v>
      </c>
      <c r="C145" s="602"/>
      <c r="D145" s="603"/>
      <c r="E145" s="603"/>
      <c r="F145" s="666"/>
    </row>
    <row r="146" spans="1:6" ht="15" customHeight="1">
      <c r="A146" s="603"/>
      <c r="B146" s="667" t="s">
        <v>1123</v>
      </c>
      <c r="C146" s="602"/>
      <c r="D146" s="603"/>
      <c r="E146" s="603"/>
      <c r="F146" s="668">
        <f>F134</f>
        <v>1150230</v>
      </c>
    </row>
    <row r="147" spans="1:6" ht="15" customHeight="1">
      <c r="A147" s="603"/>
      <c r="B147" s="666" t="s">
        <v>1124</v>
      </c>
      <c r="C147" s="602"/>
      <c r="D147" s="603"/>
      <c r="E147" s="603"/>
      <c r="F147" s="668">
        <f>F135</f>
        <v>1500</v>
      </c>
    </row>
    <row r="148" spans="1:6" ht="15" customHeight="1">
      <c r="A148" s="603"/>
      <c r="B148" s="666" t="s">
        <v>1175</v>
      </c>
      <c r="C148" s="602"/>
      <c r="D148" s="603"/>
      <c r="E148" s="603"/>
      <c r="F148" s="668">
        <f>F136</f>
        <v>70000</v>
      </c>
    </row>
    <row r="149" spans="1:6" ht="15" customHeight="1">
      <c r="A149" s="603"/>
      <c r="B149" s="666" t="s">
        <v>1125</v>
      </c>
      <c r="C149" s="602"/>
      <c r="D149" s="603"/>
      <c r="E149" s="603"/>
      <c r="F149" s="668">
        <f>F137</f>
        <v>0</v>
      </c>
    </row>
    <row r="150" spans="1:6" ht="15" customHeight="1">
      <c r="A150" s="603"/>
      <c r="B150" s="666" t="s">
        <v>1126</v>
      </c>
      <c r="C150" s="602"/>
      <c r="D150" s="603"/>
      <c r="E150" s="603"/>
      <c r="F150" s="668">
        <f>F138</f>
        <v>20</v>
      </c>
    </row>
    <row r="151" spans="1:6" ht="15" customHeight="1">
      <c r="A151" s="603"/>
      <c r="B151" s="666" t="s">
        <v>1127</v>
      </c>
      <c r="C151" s="602"/>
      <c r="D151" s="603"/>
      <c r="E151" s="603"/>
      <c r="F151" s="668">
        <f>F141</f>
        <v>13000</v>
      </c>
    </row>
    <row r="152" spans="1:6" ht="15" customHeight="1">
      <c r="A152" s="603"/>
      <c r="B152" s="670" t="s">
        <v>1128</v>
      </c>
      <c r="C152" s="602"/>
      <c r="D152" s="603"/>
      <c r="E152" s="603"/>
      <c r="F152" s="669">
        <f>SUM(F146:F151)</f>
        <v>1234750</v>
      </c>
    </row>
    <row r="153" spans="1:6" ht="15" customHeight="1">
      <c r="A153" s="603"/>
      <c r="B153" s="666" t="s">
        <v>1129</v>
      </c>
      <c r="C153" s="668"/>
      <c r="D153" s="668"/>
      <c r="E153" s="603"/>
      <c r="F153" s="668"/>
    </row>
    <row r="154" spans="1:6" ht="15" customHeight="1">
      <c r="A154" s="603"/>
      <c r="B154" s="666" t="s">
        <v>1130</v>
      </c>
      <c r="C154" s="602"/>
      <c r="D154" s="603"/>
      <c r="E154" s="603"/>
      <c r="F154" s="668">
        <f t="shared" ref="F154:F159" si="0">C134</f>
        <v>824710</v>
      </c>
    </row>
    <row r="155" spans="1:6" ht="15" customHeight="1">
      <c r="A155" s="603"/>
      <c r="B155" s="666" t="s">
        <v>1131</v>
      </c>
      <c r="C155" s="602"/>
      <c r="D155" s="603"/>
      <c r="E155" s="603"/>
      <c r="F155" s="668">
        <f t="shared" si="0"/>
        <v>54640</v>
      </c>
    </row>
    <row r="156" spans="1:6" ht="15" customHeight="1">
      <c r="A156" s="603"/>
      <c r="B156" s="666" t="s">
        <v>1197</v>
      </c>
      <c r="C156" s="602"/>
      <c r="D156" s="603"/>
      <c r="E156" s="603"/>
      <c r="F156" s="668">
        <f t="shared" si="0"/>
        <v>1400</v>
      </c>
    </row>
    <row r="157" spans="1:6" ht="15" customHeight="1">
      <c r="A157" s="603"/>
      <c r="B157" s="666" t="s">
        <v>1198</v>
      </c>
      <c r="C157" s="602"/>
      <c r="D157" s="603"/>
      <c r="E157" s="603"/>
      <c r="F157" s="668">
        <f t="shared" si="0"/>
        <v>200000</v>
      </c>
    </row>
    <row r="158" spans="1:6" ht="15" customHeight="1">
      <c r="A158" s="603"/>
      <c r="B158" s="666" t="s">
        <v>1183</v>
      </c>
      <c r="C158" s="602"/>
      <c r="D158" s="603"/>
      <c r="E158" s="603"/>
      <c r="F158" s="668">
        <f t="shared" si="0"/>
        <v>70000</v>
      </c>
    </row>
    <row r="159" spans="1:6" ht="15" customHeight="1">
      <c r="A159" s="603"/>
      <c r="B159" s="666" t="s">
        <v>1132</v>
      </c>
      <c r="C159" s="602"/>
      <c r="D159" s="603"/>
      <c r="E159" s="603"/>
      <c r="F159" s="668">
        <f t="shared" si="0"/>
        <v>0</v>
      </c>
    </row>
    <row r="160" spans="1:6" ht="15" customHeight="1">
      <c r="A160" s="603"/>
      <c r="B160" s="666" t="s">
        <v>1133</v>
      </c>
      <c r="C160" s="602"/>
      <c r="D160" s="603"/>
      <c r="E160" s="603"/>
      <c r="F160" s="668">
        <f>C142</f>
        <v>26000</v>
      </c>
    </row>
    <row r="161" spans="1:6" ht="15" customHeight="1">
      <c r="A161" s="603"/>
      <c r="B161" s="670" t="s">
        <v>1134</v>
      </c>
      <c r="C161" s="602"/>
      <c r="D161" s="603"/>
      <c r="E161" s="603"/>
      <c r="F161" s="669">
        <f>SUM(F154:F160)</f>
        <v>1176750</v>
      </c>
    </row>
    <row r="162" spans="1:6" ht="15" customHeight="1">
      <c r="A162" s="603"/>
      <c r="B162" s="670" t="s">
        <v>1135</v>
      </c>
      <c r="C162" s="602"/>
      <c r="D162" s="603"/>
      <c r="E162" s="603"/>
      <c r="F162" s="669">
        <f>F152-F161</f>
        <v>58000</v>
      </c>
    </row>
    <row r="163" spans="1:6" ht="15" customHeight="1">
      <c r="A163" s="603"/>
      <c r="B163" s="666" t="s">
        <v>1136</v>
      </c>
      <c r="C163" s="602"/>
      <c r="D163" s="603"/>
      <c r="E163" s="603"/>
      <c r="F163" s="668">
        <f>F139</f>
        <v>39910</v>
      </c>
    </row>
    <row r="164" spans="1:6" ht="15" customHeight="1">
      <c r="A164" s="603"/>
      <c r="B164" s="666" t="s">
        <v>1137</v>
      </c>
      <c r="C164" s="602"/>
      <c r="D164" s="603"/>
      <c r="E164" s="603"/>
      <c r="F164" s="668">
        <f>C140</f>
        <v>27896.413502109706</v>
      </c>
    </row>
    <row r="165" spans="1:6" ht="15" customHeight="1">
      <c r="A165" s="603"/>
      <c r="B165" s="670" t="s">
        <v>1138</v>
      </c>
      <c r="C165" s="602"/>
      <c r="D165" s="603"/>
      <c r="E165" s="603"/>
      <c r="F165" s="669">
        <f>F163-F164</f>
        <v>12013.586497890294</v>
      </c>
    </row>
    <row r="166" spans="1:6" ht="15" customHeight="1">
      <c r="A166" s="603"/>
      <c r="B166" s="670" t="s">
        <v>1139</v>
      </c>
      <c r="C166" s="669"/>
      <c r="D166" s="669"/>
      <c r="E166" s="673"/>
      <c r="F166" s="669">
        <f>F162+F165</f>
        <v>70013.586497890297</v>
      </c>
    </row>
    <row r="167" spans="1:6" ht="15" customHeight="1">
      <c r="A167" s="603"/>
      <c r="B167" s="666" t="s">
        <v>1140</v>
      </c>
      <c r="C167" s="665"/>
      <c r="D167" s="665"/>
      <c r="E167" s="603"/>
      <c r="F167" s="668">
        <f>F140</f>
        <v>89430</v>
      </c>
    </row>
    <row r="168" spans="1:6" ht="15" customHeight="1">
      <c r="A168" s="603"/>
      <c r="B168" s="666" t="s">
        <v>1141</v>
      </c>
      <c r="C168" s="665"/>
      <c r="D168" s="665"/>
      <c r="E168" s="603"/>
      <c r="F168" s="668">
        <f>C141</f>
        <v>67800</v>
      </c>
    </row>
    <row r="169" spans="1:6" ht="15" customHeight="1">
      <c r="A169" s="603"/>
      <c r="B169" s="670" t="s">
        <v>1142</v>
      </c>
      <c r="C169" s="665"/>
      <c r="D169" s="665"/>
      <c r="E169" s="603"/>
      <c r="F169" s="669">
        <f>F167-F168</f>
        <v>21630</v>
      </c>
    </row>
    <row r="170" spans="1:6" ht="15" customHeight="1">
      <c r="A170" s="603"/>
      <c r="B170" s="666" t="s">
        <v>1143</v>
      </c>
      <c r="C170" s="665"/>
      <c r="D170" s="665"/>
      <c r="E170" s="603"/>
      <c r="F170" s="668">
        <f>F166+F169</f>
        <v>91643.586497890297</v>
      </c>
    </row>
    <row r="171" spans="1:6" ht="15" customHeight="1">
      <c r="A171" s="603"/>
      <c r="B171" s="666" t="s">
        <v>1144</v>
      </c>
      <c r="C171" s="665"/>
      <c r="D171" s="665"/>
      <c r="E171" s="603"/>
      <c r="F171" s="668">
        <f>C143</f>
        <v>0</v>
      </c>
    </row>
    <row r="172" spans="1:6" ht="15" customHeight="1">
      <c r="A172" s="603"/>
      <c r="B172" s="670" t="s">
        <v>1145</v>
      </c>
      <c r="C172" s="665"/>
      <c r="D172" s="665"/>
      <c r="E172" s="603"/>
      <c r="F172" s="669">
        <f>F170-F171</f>
        <v>91643.586497890297</v>
      </c>
    </row>
    <row r="173" spans="1:6" ht="15" customHeight="1">
      <c r="A173" s="603"/>
      <c r="B173" s="664"/>
      <c r="C173" s="602"/>
      <c r="D173" s="603"/>
      <c r="E173" s="603"/>
      <c r="F173" s="671"/>
    </row>
    <row r="174" spans="1:6" ht="15" customHeight="1">
      <c r="A174" s="603"/>
      <c r="B174" s="671" t="s">
        <v>1146</v>
      </c>
      <c r="C174" s="602"/>
      <c r="D174" s="603"/>
      <c r="E174" s="603"/>
      <c r="F174" s="672">
        <f>F172+F160</f>
        <v>117643.5864978903</v>
      </c>
    </row>
    <row r="175" spans="1:6" ht="15" customHeight="1">
      <c r="A175" s="603"/>
      <c r="B175" s="671" t="s">
        <v>1199</v>
      </c>
      <c r="C175" s="602"/>
      <c r="D175" s="603"/>
      <c r="E175" s="603"/>
      <c r="F175" s="672">
        <f>F174-F151</f>
        <v>104643.5864978903</v>
      </c>
    </row>
    <row r="176" spans="1:6" ht="15" customHeight="1">
      <c r="A176" s="603"/>
      <c r="B176" s="666" t="s">
        <v>1147</v>
      </c>
      <c r="C176" s="602"/>
      <c r="D176" s="603"/>
      <c r="E176" s="603"/>
      <c r="F176" s="668">
        <f>F162</f>
        <v>58000</v>
      </c>
    </row>
    <row r="177" spans="1:6" ht="15" customHeight="1">
      <c r="A177" s="603"/>
      <c r="B177" s="666" t="s">
        <v>1148</v>
      </c>
      <c r="C177" s="602"/>
      <c r="D177" s="603"/>
      <c r="E177" s="603"/>
      <c r="F177" s="668">
        <f>F162+C142-F151</f>
        <v>71000</v>
      </c>
    </row>
    <row r="178" spans="1:6" ht="15" customHeight="1">
      <c r="A178" s="603"/>
      <c r="B178" s="666" t="s">
        <v>1149</v>
      </c>
      <c r="C178" s="602"/>
      <c r="D178" s="603"/>
      <c r="E178" s="603"/>
      <c r="F178" s="668">
        <f>F166</f>
        <v>70013.586497890297</v>
      </c>
    </row>
    <row r="179" spans="1:6" ht="15" customHeight="1">
      <c r="A179" s="603"/>
      <c r="B179" s="666" t="s">
        <v>1150</v>
      </c>
      <c r="C179" s="602"/>
      <c r="D179" s="603"/>
      <c r="E179" s="603"/>
      <c r="F179" s="668">
        <f>F146-F154-F155</f>
        <v>270880</v>
      </c>
    </row>
    <row r="180" spans="1:6" ht="15" customHeight="1">
      <c r="A180" s="603"/>
      <c r="B180" s="671" t="s">
        <v>1151</v>
      </c>
      <c r="C180" s="602"/>
      <c r="D180" s="603"/>
      <c r="E180" s="603"/>
      <c r="F180" s="672">
        <f>F146+F147+F148-F154</f>
        <v>397020</v>
      </c>
    </row>
    <row r="181" spans="1:6" ht="15" customHeight="1">
      <c r="A181" s="603"/>
      <c r="B181" s="666" t="s">
        <v>1152</v>
      </c>
      <c r="C181" s="602"/>
      <c r="D181" s="603"/>
      <c r="E181" s="603"/>
      <c r="F181" s="668">
        <f>F172</f>
        <v>91643.586497890297</v>
      </c>
    </row>
  </sheetData>
  <sheetProtection password="F1F8" sheet="1" objects="1" scenarios="1"/>
  <mergeCells count="2">
    <mergeCell ref="A2:E2"/>
    <mergeCell ref="A132:F132"/>
  </mergeCells>
  <pageMargins left="0.7" right="0.7" top="0.75" bottom="0.75" header="0.3" footer="0.3"/>
  <pageSetup paperSize="9" orientation="portrait" horizontalDpi="4294967293" r:id="rId1"/>
  <legacyDrawing r:id="rId2"/>
</worksheet>
</file>

<file path=xl/worksheets/sheet5.xml><?xml version="1.0" encoding="utf-8"?>
<worksheet xmlns="http://schemas.openxmlformats.org/spreadsheetml/2006/main" xmlns:r="http://schemas.openxmlformats.org/officeDocument/2006/relationships">
  <sheetPr codeName="Feuil3"/>
  <dimension ref="A1:I2004"/>
  <sheetViews>
    <sheetView workbookViewId="0">
      <pane ySplit="5" topLeftCell="A7" activePane="bottomLeft" state="frozen"/>
      <selection pane="bottomLeft" activeCell="M11" sqref="M11"/>
    </sheetView>
  </sheetViews>
  <sheetFormatPr baseColWidth="10" defaultRowHeight="12.75"/>
  <cols>
    <col min="1" max="1" width="9.42578125" style="520" customWidth="1"/>
    <col min="2" max="2" width="25.28515625" style="516" customWidth="1"/>
    <col min="3" max="3" width="8" style="1055" customWidth="1"/>
    <col min="4" max="4" width="7.5703125" style="1055" customWidth="1"/>
    <col min="5" max="5" width="14.28515625" style="1069" customWidth="1"/>
    <col min="6" max="6" width="14.85546875" style="521" customWidth="1"/>
    <col min="7" max="7" width="10.42578125" style="1055" customWidth="1"/>
    <col min="8" max="8" width="33.42578125" style="522" customWidth="1"/>
    <col min="9" max="9" width="28.5703125" style="522" customWidth="1"/>
    <col min="10" max="16384" width="11.42578125" style="516"/>
  </cols>
  <sheetData>
    <row r="1" spans="1:9" s="529" customFormat="1" ht="68.25" customHeight="1">
      <c r="A1" s="524"/>
      <c r="B1" s="525"/>
      <c r="C1" s="1051"/>
      <c r="D1" s="1060" t="str">
        <f>IF(Bilancloture!H102=0," Votre bilan de clôture est équilibré"," Déséquilibre du bilan de Clôture ,Vérifiez votre dernière écriture ou consultez la méthode")</f>
        <v xml:space="preserve"> Votre bilan de clôture est équilibré</v>
      </c>
      <c r="E1" s="1064"/>
      <c r="F1" s="526"/>
      <c r="G1" s="1051"/>
      <c r="H1" s="527"/>
      <c r="I1" s="528"/>
    </row>
    <row r="2" spans="1:9" ht="26.25" customHeight="1">
      <c r="A2" s="1648" t="str">
        <f>IF(G2=0,"Les montants débités et crédités  sont correctes ,écart","Vos débits et crédits sont inégaux, vérifiez écritures sur les mêmes lignes")</f>
        <v>Les montants débités et crédités  sont correctes ,écart</v>
      </c>
      <c r="B2" s="1649"/>
      <c r="C2" s="1649"/>
      <c r="D2" s="1649"/>
      <c r="E2" s="1584">
        <f>SUM(E7:E2000)</f>
        <v>5129422</v>
      </c>
      <c r="F2" s="1584">
        <f>SUM(F7:F2000)</f>
        <v>5129422</v>
      </c>
      <c r="G2" s="1584">
        <f>E2-F2</f>
        <v>0</v>
      </c>
      <c r="H2" s="513"/>
      <c r="I2" s="514"/>
    </row>
    <row r="3" spans="1:9">
      <c r="A3" s="530" t="s">
        <v>1153</v>
      </c>
      <c r="B3" s="1110">
        <v>1012</v>
      </c>
      <c r="C3" s="1052" t="s">
        <v>920</v>
      </c>
      <c r="D3" s="1061">
        <f>IF($B$3="","",VLOOKUP($B$3,Balance!A5:E347,3,0))</f>
        <v>0</v>
      </c>
      <c r="E3" s="1065" t="s">
        <v>921</v>
      </c>
      <c r="F3" s="531">
        <f>IF($B$3="","",VLOOKUP($B$3,Balance!A5:E347,4,0))</f>
        <v>0</v>
      </c>
      <c r="G3" s="1052" t="s">
        <v>547</v>
      </c>
      <c r="H3" s="531">
        <f>IF($B$3="","",VLOOKUP($B$3,Balance!A5:E347,5,0))</f>
        <v>0</v>
      </c>
      <c r="I3" s="531" t="str">
        <f>IF($B$3="","",VLOOKUP($B$3,Balance!A5:E347,2,0))</f>
        <v>Capital souscrit, appelé, non versé</v>
      </c>
    </row>
    <row r="4" spans="1:9">
      <c r="A4" s="1205"/>
      <c r="B4" s="517"/>
      <c r="C4" s="1056"/>
      <c r="D4" s="1056"/>
      <c r="E4" s="1066"/>
      <c r="F4" s="515"/>
      <c r="G4" s="1053"/>
      <c r="H4" s="518"/>
      <c r="I4" s="523"/>
    </row>
    <row r="5" spans="1:9">
      <c r="A5" s="1039" t="s">
        <v>22</v>
      </c>
      <c r="B5" s="1040" t="s">
        <v>502</v>
      </c>
      <c r="C5" s="1057" t="s">
        <v>16</v>
      </c>
      <c r="D5" s="1062" t="s">
        <v>17</v>
      </c>
      <c r="E5" s="1067" t="s">
        <v>18</v>
      </c>
      <c r="F5" s="1041"/>
      <c r="G5" s="1054" t="s">
        <v>19</v>
      </c>
      <c r="H5" s="1037" t="s">
        <v>20</v>
      </c>
      <c r="I5" s="1038" t="s">
        <v>21</v>
      </c>
    </row>
    <row r="6" spans="1:9">
      <c r="A6" s="1070"/>
      <c r="B6" s="1071"/>
      <c r="C6" s="1072"/>
      <c r="D6" s="1072"/>
      <c r="E6" s="1073"/>
      <c r="F6" s="1074"/>
      <c r="G6" s="1072"/>
      <c r="H6" s="1075"/>
      <c r="I6" s="1076"/>
    </row>
    <row r="7" spans="1:9">
      <c r="A7" s="1206"/>
      <c r="B7" s="606" t="s">
        <v>810</v>
      </c>
      <c r="C7" s="1046">
        <v>602</v>
      </c>
      <c r="D7" s="1048"/>
      <c r="E7" s="1068">
        <v>10</v>
      </c>
      <c r="F7" s="1044"/>
      <c r="G7" s="1077">
        <f>IF(C7="",F7,E7)</f>
        <v>10</v>
      </c>
      <c r="H7" s="1042" t="str">
        <f>IF(C7="","",VLOOKUP(C7,Compte!$A$3:$B$346,2,0))</f>
        <v>Achats de marchandises taux normal</v>
      </c>
      <c r="I7" s="1043" t="str">
        <f>IF(D7="","",VLOOKUP(D7,Compte!$A$3:$B$346,2,0))</f>
        <v/>
      </c>
    </row>
    <row r="8" spans="1:9">
      <c r="A8" s="1206"/>
      <c r="B8" s="606" t="s">
        <v>809</v>
      </c>
      <c r="C8" s="1046">
        <v>44522</v>
      </c>
      <c r="D8" s="1048"/>
      <c r="E8" s="1068">
        <v>10</v>
      </c>
      <c r="F8" s="1044"/>
      <c r="G8" s="1077">
        <f t="shared" ref="G8:G71" si="0">IF(C8="",F8,E8)</f>
        <v>10</v>
      </c>
      <c r="H8" s="1042" t="str">
        <f>IF(C8="","",VLOOKUP(C8,Compte!$A$3:$B$346,2,0))</f>
        <v>T.V.A. récupérable sur achats a taux normal</v>
      </c>
      <c r="I8" s="1043" t="str">
        <f>IF(D8="","",VLOOKUP(D8,Compte!$A$3:$B$346,2,0))</f>
        <v/>
      </c>
    </row>
    <row r="9" spans="1:9">
      <c r="A9" s="1206"/>
      <c r="B9" s="606" t="s">
        <v>825</v>
      </c>
      <c r="C9" s="1046"/>
      <c r="D9" s="1048">
        <v>4011</v>
      </c>
      <c r="E9" s="1068"/>
      <c r="F9" s="1044">
        <v>20</v>
      </c>
      <c r="G9" s="1077">
        <f t="shared" si="0"/>
        <v>20</v>
      </c>
      <c r="H9" s="1042" t="str">
        <f>IF(C9="","",VLOOKUP(C9,Compte!$A$3:$B$346,2,0))</f>
        <v/>
      </c>
      <c r="I9" s="1043" t="str">
        <f>IF(D9="","",VLOOKUP(D9,Compte!$A$3:$B$346,2,0))</f>
        <v>Fournisseurs</v>
      </c>
    </row>
    <row r="10" spans="1:9">
      <c r="A10" s="1206"/>
      <c r="B10" s="606"/>
      <c r="C10" s="1046"/>
      <c r="D10" s="1048"/>
      <c r="E10" s="1068"/>
      <c r="F10" s="1044"/>
      <c r="G10" s="1077">
        <f t="shared" si="0"/>
        <v>0</v>
      </c>
      <c r="H10" s="1042" t="str">
        <f>IF(C10="","",VLOOKUP(C10,Compte!$A$3:$B$346,2,0))</f>
        <v/>
      </c>
      <c r="I10" s="1043" t="str">
        <f>IF(D10="","",VLOOKUP(D10,Compte!$A$3:$B$346,2,0))</f>
        <v/>
      </c>
    </row>
    <row r="11" spans="1:9">
      <c r="A11" s="1206"/>
      <c r="B11" s="606" t="s">
        <v>811</v>
      </c>
      <c r="C11" s="1046">
        <v>4011</v>
      </c>
      <c r="D11" s="1048"/>
      <c r="E11" s="1068">
        <v>20</v>
      </c>
      <c r="F11" s="1044"/>
      <c r="G11" s="1077">
        <f t="shared" si="0"/>
        <v>20</v>
      </c>
      <c r="H11" s="1042" t="str">
        <f>IF(C11="","",VLOOKUP(C11,Compte!$A$3:$B$346,2,0))</f>
        <v>Fournisseurs</v>
      </c>
      <c r="I11" s="1043" t="str">
        <f>IF(D11="","",VLOOKUP(D11,Compte!$A$3:$B$346,2,0))</f>
        <v/>
      </c>
    </row>
    <row r="12" spans="1:9">
      <c r="A12" s="1206"/>
      <c r="B12" s="606" t="s">
        <v>830</v>
      </c>
      <c r="C12" s="1046"/>
      <c r="D12" s="1048">
        <v>520</v>
      </c>
      <c r="E12" s="1068"/>
      <c r="F12" s="1044">
        <v>20</v>
      </c>
      <c r="G12" s="1077">
        <f t="shared" si="0"/>
        <v>20</v>
      </c>
      <c r="H12" s="1042" t="str">
        <f>IF(C12="","",VLOOKUP(C12,Compte!$A$3:$B$346,2,0))</f>
        <v/>
      </c>
      <c r="I12" s="1043" t="str">
        <f>IF(D12="","",VLOOKUP(D12,Compte!$A$3:$B$346,2,0))</f>
        <v>Banques cpte en monnaie nationale</v>
      </c>
    </row>
    <row r="13" spans="1:9">
      <c r="A13" s="1206"/>
      <c r="B13" s="606"/>
      <c r="C13" s="1046"/>
      <c r="D13" s="1048"/>
      <c r="E13" s="1068"/>
      <c r="F13" s="1044"/>
      <c r="G13" s="1077">
        <f t="shared" si="0"/>
        <v>0</v>
      </c>
      <c r="H13" s="1042" t="str">
        <f>IF(C13="","",VLOOKUP(C13,Compte!$A$3:$B$346,2,0))</f>
        <v/>
      </c>
      <c r="I13" s="1043" t="str">
        <f>IF(D13="","",VLOOKUP(D13,Compte!$A$3:$B$346,2,0))</f>
        <v/>
      </c>
    </row>
    <row r="14" spans="1:9">
      <c r="A14" s="1206"/>
      <c r="B14" s="606" t="s">
        <v>812</v>
      </c>
      <c r="C14" s="1046">
        <v>411</v>
      </c>
      <c r="D14" s="1048"/>
      <c r="E14" s="1068">
        <v>1100000</v>
      </c>
      <c r="F14" s="1044"/>
      <c r="G14" s="1077">
        <f t="shared" si="0"/>
        <v>1100000</v>
      </c>
      <c r="H14" s="1042" t="str">
        <f>IF(C14="","",VLOOKUP(C14,Compte!$A$3:$B$346,2,0))</f>
        <v>Clients</v>
      </c>
      <c r="I14" s="1043" t="str">
        <f>IF(D14="","",VLOOKUP(D14,Compte!$A$3:$B$346,2,0))</f>
        <v/>
      </c>
    </row>
    <row r="15" spans="1:9">
      <c r="A15" s="1206"/>
      <c r="B15" s="606" t="s">
        <v>587</v>
      </c>
      <c r="C15" s="1046"/>
      <c r="D15" s="1048">
        <v>44311</v>
      </c>
      <c r="E15" s="1068"/>
      <c r="F15" s="1044">
        <v>100000</v>
      </c>
      <c r="G15" s="1077">
        <f t="shared" si="0"/>
        <v>100000</v>
      </c>
      <c r="H15" s="1042" t="str">
        <f>IF(C15="","",VLOOKUP(C15,Compte!$A$3:$B$346,2,0))</f>
        <v/>
      </c>
      <c r="I15" s="1043" t="str">
        <f>IF(D15="","",VLOOKUP(D15,Compte!$A$3:$B$346,2,0))</f>
        <v>T.V.A. facturée sur ventes à taux réduit</v>
      </c>
    </row>
    <row r="16" spans="1:9">
      <c r="A16" s="1206"/>
      <c r="B16" s="606" t="s">
        <v>824</v>
      </c>
      <c r="C16" s="1046"/>
      <c r="D16" s="1048">
        <v>7010</v>
      </c>
      <c r="E16" s="1068"/>
      <c r="F16" s="1044">
        <v>1000000</v>
      </c>
      <c r="G16" s="1077">
        <f t="shared" si="0"/>
        <v>1000000</v>
      </c>
      <c r="H16" s="1042" t="str">
        <f>IF(C16="","",VLOOKUP(C16,Compte!$A$3:$B$346,2,0))</f>
        <v/>
      </c>
      <c r="I16" s="1043" t="str">
        <f>IF(D16="","",VLOOKUP(D16,Compte!$A$3:$B$346,2,0))</f>
        <v>Ventes Mach  &amp; P fini  à taux réduit</v>
      </c>
    </row>
    <row r="17" spans="1:9">
      <c r="A17" s="1206"/>
      <c r="B17" s="606"/>
      <c r="C17" s="1046"/>
      <c r="D17" s="1048"/>
      <c r="E17" s="1068"/>
      <c r="F17" s="1044"/>
      <c r="G17" s="1077">
        <f t="shared" si="0"/>
        <v>0</v>
      </c>
      <c r="H17" s="1042" t="str">
        <f>IF(C17="","",VLOOKUP(C17,Compte!$A$3:$B$346,2,0))</f>
        <v/>
      </c>
      <c r="I17" s="1043" t="str">
        <f>IF(D17="","",VLOOKUP(D17,Compte!$A$3:$B$346,2,0))</f>
        <v/>
      </c>
    </row>
    <row r="18" spans="1:9">
      <c r="A18" s="1206"/>
      <c r="B18" s="606" t="s">
        <v>813</v>
      </c>
      <c r="C18" s="1046">
        <v>411</v>
      </c>
      <c r="D18" s="1048"/>
      <c r="E18" s="1068">
        <v>100</v>
      </c>
      <c r="F18" s="1044"/>
      <c r="G18" s="1077">
        <f t="shared" si="0"/>
        <v>100</v>
      </c>
      <c r="H18" s="1042" t="str">
        <f>IF(C18="","",VLOOKUP(C18,Compte!$A$3:$B$346,2,0))</f>
        <v>Clients</v>
      </c>
      <c r="I18" s="1043" t="str">
        <f>IF(D18="","",VLOOKUP(D18,Compte!$A$3:$B$346,2,0))</f>
        <v/>
      </c>
    </row>
    <row r="19" spans="1:9">
      <c r="A19" s="1206"/>
      <c r="B19" s="606" t="s">
        <v>587</v>
      </c>
      <c r="C19" s="1046"/>
      <c r="D19" s="1048">
        <v>44311</v>
      </c>
      <c r="E19" s="1068"/>
      <c r="F19" s="1044">
        <v>10</v>
      </c>
      <c r="G19" s="1077">
        <f t="shared" si="0"/>
        <v>10</v>
      </c>
      <c r="H19" s="1042" t="str">
        <f>IF(C19="","",VLOOKUP(C19,Compte!$A$3:$B$346,2,0))</f>
        <v/>
      </c>
      <c r="I19" s="1043" t="str">
        <f>IF(D19="","",VLOOKUP(D19,Compte!$A$3:$B$346,2,0))</f>
        <v>T.V.A. facturée sur ventes à taux réduit</v>
      </c>
    </row>
    <row r="20" spans="1:9">
      <c r="A20" s="1206"/>
      <c r="B20" s="606" t="s">
        <v>824</v>
      </c>
      <c r="C20" s="1046"/>
      <c r="D20" s="1048">
        <v>7010</v>
      </c>
      <c r="E20" s="1068"/>
      <c r="F20" s="1044">
        <v>90</v>
      </c>
      <c r="G20" s="1077">
        <f t="shared" si="0"/>
        <v>90</v>
      </c>
      <c r="H20" s="1042" t="str">
        <f>IF(C20="","",VLOOKUP(C20,Compte!$A$3:$B$346,2,0))</f>
        <v/>
      </c>
      <c r="I20" s="1043" t="str">
        <f>IF(D20="","",VLOOKUP(D20,Compte!$A$3:$B$346,2,0))</f>
        <v>Ventes Mach  &amp; P fini  à taux réduit</v>
      </c>
    </row>
    <row r="21" spans="1:9">
      <c r="A21" s="1206"/>
      <c r="B21" s="606"/>
      <c r="C21" s="1046"/>
      <c r="D21" s="1048"/>
      <c r="E21" s="1068"/>
      <c r="F21" s="1044"/>
      <c r="G21" s="1077">
        <f t="shared" si="0"/>
        <v>0</v>
      </c>
      <c r="H21" s="1042" t="str">
        <f>IF(C21="","",VLOOKUP(C21,Compte!$A$3:$B$346,2,0))</f>
        <v/>
      </c>
      <c r="I21" s="1043" t="str">
        <f>IF(D21="","",VLOOKUP(D21,Compte!$A$3:$B$346,2,0))</f>
        <v/>
      </c>
    </row>
    <row r="22" spans="1:9">
      <c r="A22" s="1206"/>
      <c r="B22" s="606" t="s">
        <v>923</v>
      </c>
      <c r="C22" s="1046">
        <v>520</v>
      </c>
      <c r="D22" s="1048"/>
      <c r="E22" s="1068">
        <v>95</v>
      </c>
      <c r="F22" s="1044"/>
      <c r="G22" s="1077">
        <f t="shared" si="0"/>
        <v>95</v>
      </c>
      <c r="H22" s="1042" t="str">
        <f>IF(C22="","",VLOOKUP(C22,Compte!$A$3:$B$346,2,0))</f>
        <v>Banques cpte en monnaie nationale</v>
      </c>
      <c r="I22" s="1043" t="str">
        <f>IF(D22="","",VLOOKUP(D22,Compte!$A$3:$B$346,2,0))</f>
        <v/>
      </c>
    </row>
    <row r="23" spans="1:9">
      <c r="A23" s="1206"/>
      <c r="B23" s="606" t="s">
        <v>924</v>
      </c>
      <c r="C23" s="1046">
        <v>6731</v>
      </c>
      <c r="D23" s="1048"/>
      <c r="E23" s="1068">
        <v>5</v>
      </c>
      <c r="F23" s="1044"/>
      <c r="G23" s="1077">
        <f t="shared" si="0"/>
        <v>5</v>
      </c>
      <c r="H23" s="1042" t="str">
        <f>IF(C23="","",VLOOKUP(C23,Compte!$A$3:$B$346,2,0))</f>
        <v>Escomptes accordés à taux normal</v>
      </c>
      <c r="I23" s="1043" t="str">
        <f>IF(D23="","",VLOOKUP(D23,Compte!$A$3:$B$346,2,0))</f>
        <v/>
      </c>
    </row>
    <row r="24" spans="1:9">
      <c r="A24" s="1206"/>
      <c r="B24" s="606" t="s">
        <v>922</v>
      </c>
      <c r="C24" s="1046"/>
      <c r="D24" s="1048">
        <v>411</v>
      </c>
      <c r="E24" s="1068"/>
      <c r="F24" s="1044">
        <v>100</v>
      </c>
      <c r="G24" s="1077">
        <f t="shared" si="0"/>
        <v>100</v>
      </c>
      <c r="H24" s="1042" t="str">
        <f>IF(C24="","",VLOOKUP(C24,Compte!$A$3:$B$346,2,0))</f>
        <v/>
      </c>
      <c r="I24" s="1043" t="str">
        <f>IF(D24="","",VLOOKUP(D24,Compte!$A$3:$B$346,2,0))</f>
        <v>Clients</v>
      </c>
    </row>
    <row r="25" spans="1:9">
      <c r="A25" s="1206"/>
      <c r="B25" s="606"/>
      <c r="C25" s="1046"/>
      <c r="D25" s="1048"/>
      <c r="E25" s="1068"/>
      <c r="F25" s="1044"/>
      <c r="G25" s="1077">
        <f t="shared" si="0"/>
        <v>0</v>
      </c>
      <c r="H25" s="1042" t="str">
        <f>IF(C25="","",VLOOKUP(C25,Compte!$A$3:$B$346,2,0))</f>
        <v/>
      </c>
      <c r="I25" s="1043" t="str">
        <f>IF(D25="","",VLOOKUP(D25,Compte!$A$3:$B$346,2,0))</f>
        <v/>
      </c>
    </row>
    <row r="26" spans="1:9">
      <c r="A26" s="1206"/>
      <c r="B26" s="606" t="s">
        <v>927</v>
      </c>
      <c r="C26" s="1046">
        <v>520</v>
      </c>
      <c r="D26" s="1048"/>
      <c r="E26" s="1068">
        <v>50</v>
      </c>
      <c r="F26" s="1044"/>
      <c r="G26" s="1077">
        <f t="shared" si="0"/>
        <v>50</v>
      </c>
      <c r="H26" s="1042" t="str">
        <f>IF(C26="","",VLOOKUP(C26,Compte!$A$3:$B$346,2,0))</f>
        <v>Banques cpte en monnaie nationale</v>
      </c>
      <c r="I26" s="1043" t="str">
        <f>IF(D26="","",VLOOKUP(D26,Compte!$A$3:$B$346,2,0))</f>
        <v/>
      </c>
    </row>
    <row r="27" spans="1:9">
      <c r="A27" s="1206"/>
      <c r="B27" s="606" t="s">
        <v>925</v>
      </c>
      <c r="C27" s="1046"/>
      <c r="D27" s="1048">
        <v>419</v>
      </c>
      <c r="E27" s="1068"/>
      <c r="F27" s="1044">
        <v>50</v>
      </c>
      <c r="G27" s="1077">
        <f t="shared" si="0"/>
        <v>50</v>
      </c>
      <c r="H27" s="1042" t="str">
        <f>IF(C27="","",VLOOKUP(C27,Compte!$A$3:$B$346,2,0))</f>
        <v/>
      </c>
      <c r="I27" s="1043" t="str">
        <f>IF(D27="","",VLOOKUP(D27,Compte!$A$3:$B$346,2,0))</f>
        <v>clients  acptes et avces  reçues</v>
      </c>
    </row>
    <row r="28" spans="1:9">
      <c r="A28" s="1206"/>
      <c r="B28" s="606"/>
      <c r="C28" s="1046"/>
      <c r="D28" s="1048"/>
      <c r="E28" s="1068"/>
      <c r="F28" s="1044"/>
      <c r="G28" s="1077">
        <f t="shared" si="0"/>
        <v>0</v>
      </c>
      <c r="H28" s="1042" t="str">
        <f>IF(C28="","",VLOOKUP(C28,Compte!$A$3:$B$346,2,0))</f>
        <v/>
      </c>
      <c r="I28" s="1043" t="str">
        <f>IF(D28="","",VLOOKUP(D28,Compte!$A$3:$B$346,2,0))</f>
        <v/>
      </c>
    </row>
    <row r="29" spans="1:9">
      <c r="A29" s="1206"/>
      <c r="B29" s="606" t="s">
        <v>922</v>
      </c>
      <c r="C29" s="1046">
        <v>411</v>
      </c>
      <c r="D29" s="1048"/>
      <c r="E29" s="1068">
        <v>100</v>
      </c>
      <c r="F29" s="1044"/>
      <c r="G29" s="1077">
        <f t="shared" si="0"/>
        <v>100</v>
      </c>
      <c r="H29" s="1042" t="str">
        <f>IF(C29="","",VLOOKUP(C29,Compte!$A$3:$B$346,2,0))</f>
        <v>Clients</v>
      </c>
      <c r="I29" s="1043" t="str">
        <f>IF(D29="","",VLOOKUP(D29,Compte!$A$3:$B$346,2,0))</f>
        <v/>
      </c>
    </row>
    <row r="30" spans="1:9">
      <c r="A30" s="1206"/>
      <c r="B30" s="606" t="s">
        <v>927</v>
      </c>
      <c r="C30" s="1046">
        <v>419</v>
      </c>
      <c r="D30" s="1048"/>
      <c r="E30" s="1068">
        <v>50</v>
      </c>
      <c r="F30" s="1044"/>
      <c r="G30" s="1077">
        <f t="shared" si="0"/>
        <v>50</v>
      </c>
      <c r="H30" s="1042" t="str">
        <f>IF(C30="","",VLOOKUP(C30,Compte!$A$3:$B$346,2,0))</f>
        <v>clients  acptes et avces  reçues</v>
      </c>
      <c r="I30" s="1043" t="str">
        <f>IF(D30="","",VLOOKUP(D30,Compte!$A$3:$B$346,2,0))</f>
        <v/>
      </c>
    </row>
    <row r="31" spans="1:9">
      <c r="A31" s="1206"/>
      <c r="B31" s="606" t="s">
        <v>587</v>
      </c>
      <c r="C31" s="1046"/>
      <c r="D31" s="1048">
        <v>44312</v>
      </c>
      <c r="E31" s="1068"/>
      <c r="F31" s="1044">
        <v>10</v>
      </c>
      <c r="G31" s="1077">
        <f t="shared" si="0"/>
        <v>10</v>
      </c>
      <c r="H31" s="1042" t="str">
        <f>IF(C31="","",VLOOKUP(C31,Compte!$A$3:$B$346,2,0))</f>
        <v/>
      </c>
      <c r="I31" s="1043" t="str">
        <f>IF(D31="","",VLOOKUP(D31,Compte!$A$3:$B$346,2,0))</f>
        <v>T.V.A. facturée sur ventes à taux normal</v>
      </c>
    </row>
    <row r="32" spans="1:9">
      <c r="A32" s="1206"/>
      <c r="B32" s="606" t="s">
        <v>926</v>
      </c>
      <c r="C32" s="1046"/>
      <c r="D32" s="1048">
        <v>7011</v>
      </c>
      <c r="E32" s="1068"/>
      <c r="F32" s="1044">
        <v>140</v>
      </c>
      <c r="G32" s="1077">
        <f t="shared" si="0"/>
        <v>140</v>
      </c>
      <c r="H32" s="1042" t="str">
        <f>IF(C32="","",VLOOKUP(C32,Compte!$A$3:$B$346,2,0))</f>
        <v/>
      </c>
      <c r="I32" s="1043" t="str">
        <f>IF(D32="","",VLOOKUP(D32,Compte!$A$3:$B$346,2,0))</f>
        <v>Ventes Mach  &amp; P fini  à taux normal</v>
      </c>
    </row>
    <row r="33" spans="1:9">
      <c r="A33" s="1206"/>
      <c r="B33" s="606"/>
      <c r="C33" s="1046"/>
      <c r="D33" s="1048"/>
      <c r="E33" s="1068"/>
      <c r="F33" s="1044"/>
      <c r="G33" s="1077">
        <f t="shared" si="0"/>
        <v>0</v>
      </c>
      <c r="H33" s="1042" t="str">
        <f>IF(C33="","",VLOOKUP(C33,Compte!$A$3:$B$346,2,0))</f>
        <v/>
      </c>
      <c r="I33" s="1043" t="str">
        <f>IF(D33="","",VLOOKUP(D33,Compte!$A$3:$B$346,2,0))</f>
        <v/>
      </c>
    </row>
    <row r="34" spans="1:9">
      <c r="A34" s="1206"/>
      <c r="B34" s="606" t="s">
        <v>928</v>
      </c>
      <c r="C34" s="1046">
        <v>4091</v>
      </c>
      <c r="D34" s="1048"/>
      <c r="E34" s="1068">
        <v>100</v>
      </c>
      <c r="F34" s="1044"/>
      <c r="G34" s="1077">
        <f t="shared" si="0"/>
        <v>100</v>
      </c>
      <c r="H34" s="1042" t="str">
        <f>IF(C34="","",VLOOKUP(C34,Compte!$A$3:$B$346,2,0))</f>
        <v>Fournisseurs avances et acomptes versés</v>
      </c>
      <c r="I34" s="1043" t="str">
        <f>IF(D34="","",VLOOKUP(D34,Compte!$A$3:$B$346,2,0))</f>
        <v/>
      </c>
    </row>
    <row r="35" spans="1:9">
      <c r="A35" s="1206"/>
      <c r="B35" s="606" t="s">
        <v>830</v>
      </c>
      <c r="C35" s="1046"/>
      <c r="D35" s="1048">
        <v>520</v>
      </c>
      <c r="E35" s="1068"/>
      <c r="F35" s="1044">
        <v>100</v>
      </c>
      <c r="G35" s="1077">
        <f t="shared" si="0"/>
        <v>100</v>
      </c>
      <c r="H35" s="1042" t="str">
        <f>IF(C35="","",VLOOKUP(C35,Compte!$A$3:$B$346,2,0))</f>
        <v/>
      </c>
      <c r="I35" s="1043" t="str">
        <f>IF(D35="","",VLOOKUP(D35,Compte!$A$3:$B$346,2,0))</f>
        <v>Banques cpte en monnaie nationale</v>
      </c>
    </row>
    <row r="36" spans="1:9">
      <c r="A36" s="1206"/>
      <c r="B36" s="606"/>
      <c r="C36" s="1046"/>
      <c r="D36" s="1048"/>
      <c r="E36" s="1068"/>
      <c r="F36" s="1044"/>
      <c r="G36" s="1077">
        <f t="shared" si="0"/>
        <v>0</v>
      </c>
      <c r="H36" s="1042" t="str">
        <f>IF(C36="","",VLOOKUP(C36,Compte!$A$3:$B$346,2,0))</f>
        <v/>
      </c>
      <c r="I36" s="1043" t="str">
        <f>IF(D36="","",VLOOKUP(D36,Compte!$A$3:$B$346,2,0))</f>
        <v/>
      </c>
    </row>
    <row r="37" spans="1:9">
      <c r="A37" s="1206"/>
      <c r="B37" s="606" t="s">
        <v>929</v>
      </c>
      <c r="C37" s="1046">
        <v>602</v>
      </c>
      <c r="D37" s="1048"/>
      <c r="E37" s="1068">
        <v>200</v>
      </c>
      <c r="F37" s="1044"/>
      <c r="G37" s="1077">
        <f t="shared" si="0"/>
        <v>200</v>
      </c>
      <c r="H37" s="1042" t="str">
        <f>IF(C37="","",VLOOKUP(C37,Compte!$A$3:$B$346,2,0))</f>
        <v>Achats de marchandises taux normal</v>
      </c>
      <c r="I37" s="1043" t="str">
        <f>IF(D37="","",VLOOKUP(D37,Compte!$A$3:$B$346,2,0))</f>
        <v/>
      </c>
    </row>
    <row r="38" spans="1:9">
      <c r="A38" s="1206"/>
      <c r="B38" s="606" t="s">
        <v>809</v>
      </c>
      <c r="C38" s="1046">
        <v>44522</v>
      </c>
      <c r="D38" s="1048"/>
      <c r="E38" s="1068">
        <v>10</v>
      </c>
      <c r="F38" s="1044"/>
      <c r="G38" s="1077">
        <f t="shared" si="0"/>
        <v>10</v>
      </c>
      <c r="H38" s="1042" t="str">
        <f>IF(C38="","",VLOOKUP(C38,Compte!$A$3:$B$346,2,0))</f>
        <v>T.V.A. récupérable sur achats a taux normal</v>
      </c>
      <c r="I38" s="1043" t="str">
        <f>IF(D38="","",VLOOKUP(D38,Compte!$A$3:$B$346,2,0))</f>
        <v/>
      </c>
    </row>
    <row r="39" spans="1:9">
      <c r="A39" s="1206"/>
      <c r="B39" s="606" t="s">
        <v>930</v>
      </c>
      <c r="C39" s="1046"/>
      <c r="D39" s="1048">
        <v>4091</v>
      </c>
      <c r="E39" s="1068"/>
      <c r="F39" s="1044">
        <v>100</v>
      </c>
      <c r="G39" s="1077">
        <f t="shared" si="0"/>
        <v>100</v>
      </c>
      <c r="H39" s="1042" t="str">
        <f>IF(C39="","",VLOOKUP(C39,Compte!$A$3:$B$346,2,0))</f>
        <v/>
      </c>
      <c r="I39" s="1043" t="str">
        <f>IF(D39="","",VLOOKUP(D39,Compte!$A$3:$B$346,2,0))</f>
        <v>Fournisseurs avances et acomptes versés</v>
      </c>
    </row>
    <row r="40" spans="1:9">
      <c r="A40" s="1206"/>
      <c r="B40" s="606" t="s">
        <v>825</v>
      </c>
      <c r="C40" s="1046"/>
      <c r="D40" s="1048">
        <v>4011</v>
      </c>
      <c r="E40" s="1068"/>
      <c r="F40" s="1044">
        <v>110</v>
      </c>
      <c r="G40" s="1077">
        <f t="shared" si="0"/>
        <v>110</v>
      </c>
      <c r="H40" s="1042" t="str">
        <f>IF(C40="","",VLOOKUP(C40,Compte!$A$3:$B$346,2,0))</f>
        <v/>
      </c>
      <c r="I40" s="1043" t="str">
        <f>IF(D40="","",VLOOKUP(D40,Compte!$A$3:$B$346,2,0))</f>
        <v>Fournisseurs</v>
      </c>
    </row>
    <row r="41" spans="1:9">
      <c r="A41" s="1206"/>
      <c r="B41" s="606"/>
      <c r="C41" s="1046"/>
      <c r="D41" s="1048"/>
      <c r="E41" s="1583"/>
      <c r="F41" s="1583"/>
      <c r="G41" s="1077">
        <f t="shared" si="0"/>
        <v>0</v>
      </c>
      <c r="H41" s="1042" t="str">
        <f>IF(C41="","",VLOOKUP(C41,Compte!$A$3:$B$346,2,0))</f>
        <v/>
      </c>
      <c r="I41" s="1043" t="str">
        <f>IF(D41="","",VLOOKUP(D41,Compte!$A$3:$B$346,2,0))</f>
        <v/>
      </c>
    </row>
    <row r="42" spans="1:9">
      <c r="A42" s="1206"/>
      <c r="B42" s="606" t="s">
        <v>931</v>
      </c>
      <c r="C42" s="1046">
        <v>4011</v>
      </c>
      <c r="D42" s="1048"/>
      <c r="E42" s="1068">
        <v>110</v>
      </c>
      <c r="F42" s="1044"/>
      <c r="G42" s="1077">
        <f t="shared" si="0"/>
        <v>110</v>
      </c>
      <c r="H42" s="1042" t="str">
        <f>IF(C42="","",VLOOKUP(C42,Compte!$A$3:$B$346,2,0))</f>
        <v>Fournisseurs</v>
      </c>
      <c r="I42" s="1043" t="str">
        <f>IF(D42="","",VLOOKUP(D42,Compte!$A$3:$B$346,2,0))</f>
        <v/>
      </c>
    </row>
    <row r="43" spans="1:9">
      <c r="A43" s="1206"/>
      <c r="B43" s="606" t="s">
        <v>830</v>
      </c>
      <c r="C43" s="1046"/>
      <c r="D43" s="1048">
        <v>520</v>
      </c>
      <c r="E43" s="1068"/>
      <c r="F43" s="1044">
        <v>110</v>
      </c>
      <c r="G43" s="1077">
        <f t="shared" si="0"/>
        <v>110</v>
      </c>
      <c r="H43" s="1042" t="str">
        <f>IF(C43="","",VLOOKUP(C43,Compte!$A$3:$B$346,2,0))</f>
        <v/>
      </c>
      <c r="I43" s="1043" t="str">
        <f>IF(D43="","",VLOOKUP(D43,Compte!$A$3:$B$346,2,0))</f>
        <v>Banques cpte en monnaie nationale</v>
      </c>
    </row>
    <row r="44" spans="1:9">
      <c r="A44" s="1206"/>
      <c r="B44" s="606"/>
      <c r="C44" s="1046"/>
      <c r="D44" s="1048"/>
      <c r="E44" s="1068"/>
      <c r="F44" s="1044"/>
      <c r="G44" s="1077">
        <f t="shared" si="0"/>
        <v>0</v>
      </c>
      <c r="H44" s="1042" t="str">
        <f>IF(C44="","",VLOOKUP(C44,Compte!$A$3:$B$346,2,0))</f>
        <v/>
      </c>
      <c r="I44" s="1043" t="str">
        <f>IF(D44="","",VLOOKUP(D44,Compte!$A$3:$B$346,2,0))</f>
        <v/>
      </c>
    </row>
    <row r="45" spans="1:9">
      <c r="A45" s="1206"/>
      <c r="B45" s="606" t="s">
        <v>933</v>
      </c>
      <c r="C45" s="1046">
        <v>411</v>
      </c>
      <c r="D45" s="1048"/>
      <c r="E45" s="1068">
        <v>130</v>
      </c>
      <c r="F45" s="1044"/>
      <c r="G45" s="1077">
        <f t="shared" si="0"/>
        <v>130</v>
      </c>
      <c r="H45" s="1042" t="str">
        <f>IF(C45="","",VLOOKUP(C45,Compte!$A$3:$B$346,2,0))</f>
        <v>Clients</v>
      </c>
      <c r="I45" s="1043" t="str">
        <f>IF(D45="","",VLOOKUP(D45,Compte!$A$3:$B$346,2,0))</f>
        <v/>
      </c>
    </row>
    <row r="46" spans="1:9">
      <c r="A46" s="1206"/>
      <c r="B46" s="606" t="s">
        <v>587</v>
      </c>
      <c r="C46" s="1046"/>
      <c r="D46" s="1048">
        <v>44312</v>
      </c>
      <c r="E46" s="1068"/>
      <c r="F46" s="1044">
        <v>10</v>
      </c>
      <c r="G46" s="1077">
        <f t="shared" si="0"/>
        <v>10</v>
      </c>
      <c r="H46" s="1042" t="str">
        <f>IF(C46="","",VLOOKUP(C46,Compte!$A$3:$B$346,2,0))</f>
        <v/>
      </c>
      <c r="I46" s="1043" t="str">
        <f>IF(D46="","",VLOOKUP(D46,Compte!$A$3:$B$346,2,0))</f>
        <v>T.V.A. facturée sur ventes à taux normal</v>
      </c>
    </row>
    <row r="47" spans="1:9">
      <c r="A47" s="1206"/>
      <c r="B47" s="606" t="s">
        <v>932</v>
      </c>
      <c r="C47" s="1046"/>
      <c r="D47" s="1048">
        <v>7010</v>
      </c>
      <c r="E47" s="1068"/>
      <c r="F47" s="1044">
        <v>20</v>
      </c>
      <c r="G47" s="1077">
        <f t="shared" si="0"/>
        <v>20</v>
      </c>
      <c r="H47" s="1042" t="str">
        <f>IF(C47="","",VLOOKUP(C47,Compte!$A$3:$B$346,2,0))</f>
        <v/>
      </c>
      <c r="I47" s="1043" t="str">
        <f>IF(D47="","",VLOOKUP(D47,Compte!$A$3:$B$346,2,0))</f>
        <v>Ventes Mach  &amp; P fini  à taux réduit</v>
      </c>
    </row>
    <row r="48" spans="1:9">
      <c r="A48" s="1206"/>
      <c r="B48" s="606"/>
      <c r="C48" s="1046"/>
      <c r="D48" s="1048">
        <v>7500</v>
      </c>
      <c r="E48" s="1068"/>
      <c r="F48" s="1044">
        <v>100</v>
      </c>
      <c r="G48" s="1077">
        <f t="shared" si="0"/>
        <v>100</v>
      </c>
      <c r="H48" s="1042" t="str">
        <f>IF(C48="","",VLOOKUP(C48,Compte!$A$3:$B$346,2,0))</f>
        <v/>
      </c>
      <c r="I48" s="1043" t="str">
        <f>IF(D48="","",VLOOKUP(D48,Compte!$A$3:$B$346,2,0))</f>
        <v>Frais de port , livraison &amp; Autres produits</v>
      </c>
    </row>
    <row r="49" spans="1:9">
      <c r="A49" s="1206"/>
      <c r="B49" s="606" t="s">
        <v>934</v>
      </c>
      <c r="C49" s="1046">
        <v>4115</v>
      </c>
      <c r="D49" s="1048"/>
      <c r="E49" s="1068">
        <v>1000</v>
      </c>
      <c r="F49" s="1044"/>
      <c r="G49" s="1077">
        <f t="shared" si="0"/>
        <v>1000</v>
      </c>
      <c r="H49" s="1042" t="str">
        <f>IF(C49="","",VLOOKUP(C49,Compte!$A$3:$B$346,2,0))</f>
        <v>client et organismes étrangers</v>
      </c>
      <c r="I49" s="1043" t="str">
        <f>IF(D49="","",VLOOKUP(D49,Compte!$A$3:$B$346,2,0))</f>
        <v/>
      </c>
    </row>
    <row r="50" spans="1:9">
      <c r="A50" s="1206"/>
      <c r="B50" s="606" t="s">
        <v>935</v>
      </c>
      <c r="C50" s="1046"/>
      <c r="D50" s="1048">
        <v>7022</v>
      </c>
      <c r="E50" s="1068"/>
      <c r="F50" s="1044">
        <v>1000</v>
      </c>
      <c r="G50" s="1077">
        <f t="shared" si="0"/>
        <v>1000</v>
      </c>
      <c r="H50" s="1042" t="str">
        <f>IF(C50="","",VLOOKUP(C50,Compte!$A$3:$B$346,2,0))</f>
        <v/>
      </c>
      <c r="I50" s="1043" t="str">
        <f>IF(D50="","",VLOOKUP(D50,Compte!$A$3:$B$346,2,0))</f>
        <v>Ventes Mach  &amp; P fini UEMOA  &amp; RDM à taux normal</v>
      </c>
    </row>
    <row r="51" spans="1:9">
      <c r="A51" s="1206"/>
      <c r="B51" s="606" t="s">
        <v>815</v>
      </c>
      <c r="C51" s="1046">
        <v>4115</v>
      </c>
      <c r="D51" s="1048"/>
      <c r="E51" s="1068">
        <v>500</v>
      </c>
      <c r="F51" s="1044"/>
      <c r="G51" s="1077">
        <f t="shared" si="0"/>
        <v>500</v>
      </c>
      <c r="H51" s="1042" t="str">
        <f>IF(C51="","",VLOOKUP(C51,Compte!$A$3:$B$346,2,0))</f>
        <v>client et organismes étrangers</v>
      </c>
      <c r="I51" s="1043" t="str">
        <f>IF(D51="","",VLOOKUP(D51,Compte!$A$3:$B$346,2,0))</f>
        <v/>
      </c>
    </row>
    <row r="52" spans="1:9">
      <c r="A52" s="1206"/>
      <c r="B52" s="606" t="s">
        <v>936</v>
      </c>
      <c r="C52" s="1046"/>
      <c r="D52" s="1048">
        <v>7021</v>
      </c>
      <c r="E52" s="1068"/>
      <c r="F52" s="1044">
        <v>500</v>
      </c>
      <c r="G52" s="1077">
        <f t="shared" si="0"/>
        <v>500</v>
      </c>
      <c r="H52" s="1042" t="str">
        <f>IF(C52="","",VLOOKUP(C52,Compte!$A$3:$B$346,2,0))</f>
        <v/>
      </c>
      <c r="I52" s="1043" t="str">
        <f>IF(D52="","",VLOOKUP(D52,Compte!$A$3:$B$346,2,0))</f>
        <v>Ventes Mach  &amp; P fini UEMOA  &amp; RDM à taux réduit</v>
      </c>
    </row>
    <row r="53" spans="1:9">
      <c r="A53" s="1206"/>
      <c r="B53" s="606" t="s">
        <v>815</v>
      </c>
      <c r="C53" s="1046">
        <v>4115</v>
      </c>
      <c r="D53" s="1048"/>
      <c r="E53" s="1068">
        <v>200</v>
      </c>
      <c r="F53" s="1044"/>
      <c r="G53" s="1077">
        <f t="shared" si="0"/>
        <v>200</v>
      </c>
      <c r="H53" s="1042" t="str">
        <f>IF(C53="","",VLOOKUP(C53,Compte!$A$3:$B$346,2,0))</f>
        <v>client et organismes étrangers</v>
      </c>
      <c r="I53" s="1043" t="str">
        <f>IF(D53="","",VLOOKUP(D53,Compte!$A$3:$B$346,2,0))</f>
        <v/>
      </c>
    </row>
    <row r="54" spans="1:9">
      <c r="A54" s="1206"/>
      <c r="B54" s="606" t="s">
        <v>926</v>
      </c>
      <c r="C54" s="1046"/>
      <c r="D54" s="1048">
        <v>7023</v>
      </c>
      <c r="E54" s="1068"/>
      <c r="F54" s="1044">
        <v>200</v>
      </c>
      <c r="G54" s="1077">
        <f t="shared" si="0"/>
        <v>200</v>
      </c>
      <c r="H54" s="1042" t="str">
        <f>IF(C54="","",VLOOKUP(C54,Compte!$A$3:$B$346,2,0))</f>
        <v/>
      </c>
      <c r="I54" s="1043" t="str">
        <f>IF(D54="","",VLOOKUP(D54,Compte!$A$3:$B$346,2,0))</f>
        <v>Ventes Mach  &amp; P fini UEMOA  &amp; RDM à taux fort</v>
      </c>
    </row>
    <row r="55" spans="1:9">
      <c r="A55" s="1206"/>
      <c r="B55" s="606"/>
      <c r="C55" s="1046"/>
      <c r="D55" s="1048"/>
      <c r="E55" s="1068"/>
      <c r="F55" s="1044"/>
      <c r="G55" s="1077">
        <f t="shared" si="0"/>
        <v>0</v>
      </c>
      <c r="H55" s="1042" t="str">
        <f>IF(C55="","",VLOOKUP(C55,Compte!$A$3:$B$346,2,0))</f>
        <v/>
      </c>
      <c r="I55" s="1043" t="str">
        <f>IF(D55="","",VLOOKUP(D55,Compte!$A$3:$B$346,2,0))</f>
        <v/>
      </c>
    </row>
    <row r="56" spans="1:9">
      <c r="A56" s="1206"/>
      <c r="B56" s="606" t="s">
        <v>1429</v>
      </c>
      <c r="C56" s="1046">
        <v>4115</v>
      </c>
      <c r="D56" s="1048"/>
      <c r="E56" s="1068">
        <v>50000</v>
      </c>
      <c r="F56" s="1044"/>
      <c r="G56" s="1077">
        <f t="shared" si="0"/>
        <v>50000</v>
      </c>
      <c r="H56" s="1042" t="str">
        <f>IF(C56="","",VLOOKUP(C56,Compte!$A$3:$B$346,2,0))</f>
        <v>client et organismes étrangers</v>
      </c>
      <c r="I56" s="1043" t="str">
        <f>IF(D56="","",VLOOKUP(D56,Compte!$A$3:$B$346,2,0))</f>
        <v/>
      </c>
    </row>
    <row r="57" spans="1:9">
      <c r="A57" s="1206"/>
      <c r="B57" s="606" t="s">
        <v>1428</v>
      </c>
      <c r="C57" s="1046"/>
      <c r="D57" s="1048">
        <v>7065</v>
      </c>
      <c r="E57" s="1068"/>
      <c r="F57" s="1044">
        <v>50000</v>
      </c>
      <c r="G57" s="1077">
        <f t="shared" si="0"/>
        <v>50000</v>
      </c>
      <c r="H57" s="1042" t="str">
        <f>IF(C57="","",VLOOKUP(C57,Compte!$A$3:$B$346,2,0))</f>
        <v/>
      </c>
      <c r="I57" s="1043" t="str">
        <f>IF(D57="","",VLOOKUP(D57,Compte!$A$3:$B$346,2,0))</f>
        <v>Services vendus UÉMOA &amp;RDM à taux normal</v>
      </c>
    </row>
    <row r="58" spans="1:9">
      <c r="A58" s="1206"/>
      <c r="B58" s="606"/>
      <c r="C58" s="1046"/>
      <c r="D58" s="1048"/>
      <c r="E58" s="1068"/>
      <c r="F58" s="1044"/>
      <c r="G58" s="1077">
        <f t="shared" si="0"/>
        <v>0</v>
      </c>
      <c r="H58" s="1042" t="str">
        <f>IF(C58="","",VLOOKUP(C58,Compte!$A$3:$B$346,2,0))</f>
        <v/>
      </c>
      <c r="I58" s="1043" t="str">
        <f>IF(D58="","",VLOOKUP(D58,Compte!$A$3:$B$346,2,0))</f>
        <v/>
      </c>
    </row>
    <row r="59" spans="1:9">
      <c r="A59" s="1206"/>
      <c r="B59" s="606" t="s">
        <v>1429</v>
      </c>
      <c r="C59" s="1046">
        <v>4115</v>
      </c>
      <c r="D59" s="1048"/>
      <c r="E59" s="1068">
        <v>10000</v>
      </c>
      <c r="F59" s="1044"/>
      <c r="G59" s="1077">
        <f t="shared" si="0"/>
        <v>10000</v>
      </c>
      <c r="H59" s="1042" t="str">
        <f>IF(C59="","",VLOOKUP(C59,Compte!$A$3:$B$346,2,0))</f>
        <v>client et organismes étrangers</v>
      </c>
      <c r="I59" s="1043" t="str">
        <f>IF(D59="","",VLOOKUP(D59,Compte!$A$3:$B$346,2,0))</f>
        <v/>
      </c>
    </row>
    <row r="60" spans="1:9">
      <c r="A60" s="1206"/>
      <c r="B60" s="606" t="s">
        <v>1430</v>
      </c>
      <c r="C60" s="1046"/>
      <c r="D60" s="1048">
        <v>7034</v>
      </c>
      <c r="E60" s="1068"/>
      <c r="F60" s="1044">
        <v>10000</v>
      </c>
      <c r="G60" s="1077">
        <f t="shared" si="0"/>
        <v>10000</v>
      </c>
      <c r="H60" s="1042" t="str">
        <f>IF(C60="","",VLOOKUP(C60,Compte!$A$3:$B$346,2,0))</f>
        <v/>
      </c>
      <c r="I60" s="1043" t="str">
        <f>IF(D60="","",VLOOKUP(D60,Compte!$A$3:$B$346,2,0))</f>
        <v>Produits interm. &amp; résiduels UÉMOA &amp; RDM à taux fort</v>
      </c>
    </row>
    <row r="61" spans="1:9">
      <c r="A61" s="1206"/>
      <c r="B61" s="606"/>
      <c r="C61" s="1046"/>
      <c r="D61" s="1048"/>
      <c r="E61" s="1068"/>
      <c r="F61" s="1044"/>
      <c r="G61" s="1077">
        <f t="shared" si="0"/>
        <v>0</v>
      </c>
      <c r="H61" s="1042" t="str">
        <f>IF(C61="","",VLOOKUP(C61,Compte!$A$3:$B$346,2,0))</f>
        <v/>
      </c>
      <c r="I61" s="1043" t="str">
        <f>IF(D61="","",VLOOKUP(D61,Compte!$A$3:$B$346,2,0))</f>
        <v/>
      </c>
    </row>
    <row r="62" spans="1:9">
      <c r="A62" s="1206"/>
      <c r="B62" s="606"/>
      <c r="C62" s="1046"/>
      <c r="D62" s="1048"/>
      <c r="E62" s="1583"/>
      <c r="F62" s="1583"/>
      <c r="G62" s="1077">
        <f t="shared" si="0"/>
        <v>0</v>
      </c>
      <c r="H62" s="1042" t="str">
        <f>IF(C62="","",VLOOKUP(C62,Compte!$A$3:$B$346,2,0))</f>
        <v/>
      </c>
      <c r="I62" s="1043" t="str">
        <f>IF(D62="","",VLOOKUP(D62,Compte!$A$3:$B$346,2,0))</f>
        <v/>
      </c>
    </row>
    <row r="63" spans="1:9">
      <c r="A63" s="1206"/>
      <c r="B63" s="606" t="s">
        <v>816</v>
      </c>
      <c r="C63" s="1046">
        <v>7011</v>
      </c>
      <c r="D63" s="1048"/>
      <c r="E63" s="1068">
        <v>10</v>
      </c>
      <c r="F63" s="1044"/>
      <c r="G63" s="1077">
        <f t="shared" si="0"/>
        <v>10</v>
      </c>
      <c r="H63" s="1042" t="str">
        <f>IF(C63="","",VLOOKUP(C63,Compte!$A$3:$B$346,2,0))</f>
        <v>Ventes Mach  &amp; P fini  à taux normal</v>
      </c>
      <c r="I63" s="1043" t="str">
        <f>IF(D63="","",VLOOKUP(D63,Compte!$A$3:$B$346,2,0))</f>
        <v/>
      </c>
    </row>
    <row r="64" spans="1:9">
      <c r="A64" s="1206"/>
      <c r="B64" s="606" t="s">
        <v>587</v>
      </c>
      <c r="C64" s="1046">
        <v>44312</v>
      </c>
      <c r="D64" s="1048"/>
      <c r="E64" s="1068">
        <v>2</v>
      </c>
      <c r="F64" s="1044"/>
      <c r="G64" s="1077">
        <f t="shared" si="0"/>
        <v>2</v>
      </c>
      <c r="H64" s="1042" t="str">
        <f>IF(C64="","",VLOOKUP(C64,Compte!$A$3:$B$346,2,0))</f>
        <v>T.V.A. facturée sur ventes à taux normal</v>
      </c>
      <c r="I64" s="1043" t="str">
        <f>IF(D64="","",VLOOKUP(D64,Compte!$A$3:$B$346,2,0))</f>
        <v/>
      </c>
    </row>
    <row r="65" spans="1:9">
      <c r="A65" s="1206"/>
      <c r="B65" s="606" t="s">
        <v>922</v>
      </c>
      <c r="C65" s="1046"/>
      <c r="D65" s="1048">
        <v>411</v>
      </c>
      <c r="E65" s="1068"/>
      <c r="F65" s="1044">
        <v>12</v>
      </c>
      <c r="G65" s="1077">
        <f t="shared" si="0"/>
        <v>12</v>
      </c>
      <c r="H65" s="1042" t="str">
        <f>IF(C65="","",VLOOKUP(C65,Compte!$A$3:$B$346,2,0))</f>
        <v/>
      </c>
      <c r="I65" s="1043" t="str">
        <f>IF(D65="","",VLOOKUP(D65,Compte!$A$3:$B$346,2,0))</f>
        <v>Clients</v>
      </c>
    </row>
    <row r="66" spans="1:9">
      <c r="A66" s="1206"/>
      <c r="B66" s="606"/>
      <c r="C66" s="1046"/>
      <c r="D66" s="1048"/>
      <c r="E66" s="1068"/>
      <c r="F66" s="1044"/>
      <c r="G66" s="1077">
        <f t="shared" si="0"/>
        <v>0</v>
      </c>
      <c r="H66" s="1042" t="str">
        <f>IF(C66="","",VLOOKUP(C66,Compte!$A$3:$B$346,2,0))</f>
        <v/>
      </c>
      <c r="I66" s="1043" t="str">
        <f>IF(D66="","",VLOOKUP(D66,Compte!$A$3:$B$346,2,0))</f>
        <v/>
      </c>
    </row>
    <row r="67" spans="1:9">
      <c r="A67" s="1206"/>
      <c r="B67" s="606" t="s">
        <v>1532</v>
      </c>
      <c r="C67" s="1046">
        <v>6731</v>
      </c>
      <c r="D67" s="1048"/>
      <c r="E67" s="1068">
        <v>50</v>
      </c>
      <c r="F67" s="1044"/>
      <c r="G67" s="1077">
        <f t="shared" si="0"/>
        <v>50</v>
      </c>
      <c r="H67" s="1042" t="str">
        <f>IF(C67="","",VLOOKUP(C67,Compte!$A$3:$B$346,2,0))</f>
        <v>Escomptes accordés à taux normal</v>
      </c>
      <c r="I67" s="1043" t="str">
        <f>IF(D67="","",VLOOKUP(D67,Compte!$A$3:$B$346,2,0))</f>
        <v/>
      </c>
    </row>
    <row r="68" spans="1:9">
      <c r="A68" s="1206"/>
      <c r="B68" s="606" t="s">
        <v>587</v>
      </c>
      <c r="C68" s="1046">
        <v>44312</v>
      </c>
      <c r="D68" s="1048"/>
      <c r="E68" s="1068">
        <v>20</v>
      </c>
      <c r="F68" s="1044"/>
      <c r="G68" s="1077">
        <f t="shared" si="0"/>
        <v>20</v>
      </c>
      <c r="H68" s="1042" t="str">
        <f>IF(C68="","",VLOOKUP(C68,Compte!$A$3:$B$346,2,0))</f>
        <v>T.V.A. facturée sur ventes à taux normal</v>
      </c>
      <c r="I68" s="1043" t="str">
        <f>IF(D68="","",VLOOKUP(D68,Compte!$A$3:$B$346,2,0))</f>
        <v/>
      </c>
    </row>
    <row r="69" spans="1:9">
      <c r="A69" s="1206"/>
      <c r="B69" s="606" t="s">
        <v>922</v>
      </c>
      <c r="C69" s="1046"/>
      <c r="D69" s="1048">
        <v>411</v>
      </c>
      <c r="E69" s="1068"/>
      <c r="F69" s="1044">
        <v>70</v>
      </c>
      <c r="G69" s="1077">
        <f t="shared" si="0"/>
        <v>70</v>
      </c>
      <c r="H69" s="1042" t="str">
        <f>IF(C69="","",VLOOKUP(C69,Compte!$A$3:$B$346,2,0))</f>
        <v/>
      </c>
      <c r="I69" s="1043" t="str">
        <f>IF(D69="","",VLOOKUP(D69,Compte!$A$3:$B$346,2,0))</f>
        <v>Clients</v>
      </c>
    </row>
    <row r="70" spans="1:9">
      <c r="A70" s="1206"/>
      <c r="B70" s="606"/>
      <c r="C70" s="1046"/>
      <c r="D70" s="1048"/>
      <c r="E70" s="1068"/>
      <c r="F70" s="1044"/>
      <c r="G70" s="1077">
        <f t="shared" si="0"/>
        <v>0</v>
      </c>
      <c r="H70" s="1042" t="str">
        <f>IF(C70="","",VLOOKUP(C70,Compte!$A$3:$B$346,2,0))</f>
        <v/>
      </c>
      <c r="I70" s="1043" t="str">
        <f>IF(D70="","",VLOOKUP(D70,Compte!$A$3:$B$346,2,0))</f>
        <v/>
      </c>
    </row>
    <row r="71" spans="1:9">
      <c r="A71" s="1206"/>
      <c r="B71" s="606" t="s">
        <v>817</v>
      </c>
      <c r="C71" s="1046">
        <v>412</v>
      </c>
      <c r="D71" s="1048"/>
      <c r="E71" s="1068">
        <v>500</v>
      </c>
      <c r="F71" s="1044"/>
      <c r="G71" s="1077">
        <f t="shared" si="0"/>
        <v>500</v>
      </c>
      <c r="H71" s="1042" t="str">
        <f>IF(C71="","",VLOOKUP(C71,Compte!$A$3:$B$346,2,0))</f>
        <v>Clients, effets à recevoir</v>
      </c>
      <c r="I71" s="1043" t="str">
        <f>IF(D71="","",VLOOKUP(D71,Compte!$A$3:$B$346,2,0))</f>
        <v/>
      </c>
    </row>
    <row r="72" spans="1:9">
      <c r="A72" s="1206"/>
      <c r="B72" s="606" t="s">
        <v>922</v>
      </c>
      <c r="C72" s="1046"/>
      <c r="D72" s="1048">
        <v>411</v>
      </c>
      <c r="E72" s="1068"/>
      <c r="F72" s="1044">
        <v>500</v>
      </c>
      <c r="G72" s="1077">
        <f t="shared" ref="G72:G135" si="1">IF(C72="",F72,E72)</f>
        <v>500</v>
      </c>
      <c r="H72" s="1042" t="str">
        <f>IF(C72="","",VLOOKUP(C72,Compte!$A$3:$B$346,2,0))</f>
        <v/>
      </c>
      <c r="I72" s="1043" t="str">
        <f>IF(D72="","",VLOOKUP(D72,Compte!$A$3:$B$346,2,0))</f>
        <v>Clients</v>
      </c>
    </row>
    <row r="73" spans="1:9">
      <c r="A73" s="1206"/>
      <c r="B73" s="606"/>
      <c r="C73" s="1046"/>
      <c r="D73" s="1048"/>
      <c r="E73" s="1068"/>
      <c r="F73" s="1044"/>
      <c r="G73" s="1077">
        <f t="shared" si="1"/>
        <v>0</v>
      </c>
      <c r="H73" s="1042" t="str">
        <f>IF(C73="","",VLOOKUP(C73,Compte!$A$3:$B$346,2,0))</f>
        <v/>
      </c>
      <c r="I73" s="1043" t="str">
        <f>IF(D73="","",VLOOKUP(D73,Compte!$A$3:$B$346,2,0))</f>
        <v/>
      </c>
    </row>
    <row r="74" spans="1:9">
      <c r="A74" s="1206"/>
      <c r="B74" s="1080" t="s">
        <v>1431</v>
      </c>
      <c r="C74" s="1083">
        <v>421</v>
      </c>
      <c r="D74" s="1084"/>
      <c r="E74" s="1068">
        <v>20000</v>
      </c>
      <c r="F74" s="1044"/>
      <c r="G74" s="1077">
        <f t="shared" si="1"/>
        <v>20000</v>
      </c>
      <c r="H74" s="1042" t="str">
        <f>IF(C74="","",VLOOKUP(C74,Compte!$A$3:$B$346,2,0))</f>
        <v>Personnel, avances, acomptes salaires</v>
      </c>
      <c r="I74" s="1043" t="str">
        <f>IF(D74="","",VLOOKUP(D74,Compte!$A$3:$B$346,2,0))</f>
        <v/>
      </c>
    </row>
    <row r="75" spans="1:9">
      <c r="A75" s="1206"/>
      <c r="B75" s="1080" t="s">
        <v>830</v>
      </c>
      <c r="C75" s="1085"/>
      <c r="D75" s="1086">
        <v>520</v>
      </c>
      <c r="E75" s="1068"/>
      <c r="F75" s="1044">
        <v>20000</v>
      </c>
      <c r="G75" s="1077">
        <f t="shared" si="1"/>
        <v>20000</v>
      </c>
      <c r="H75" s="1042" t="str">
        <f>IF(C75="","",VLOOKUP(C75,Compte!$A$3:$B$346,2,0))</f>
        <v/>
      </c>
      <c r="I75" s="1043" t="str">
        <f>IF(D75="","",VLOOKUP(D75,Compte!$A$3:$B$346,2,0))</f>
        <v>Banques cpte en monnaie nationale</v>
      </c>
    </row>
    <row r="76" spans="1:9">
      <c r="A76" s="1206"/>
      <c r="B76" s="1080" t="s">
        <v>1432</v>
      </c>
      <c r="C76" s="1087">
        <v>6611</v>
      </c>
      <c r="D76" s="1086"/>
      <c r="E76" s="1068">
        <v>200000</v>
      </c>
      <c r="F76" s="1044"/>
      <c r="G76" s="1077">
        <f t="shared" si="1"/>
        <v>200000</v>
      </c>
      <c r="H76" s="1042" t="str">
        <f>IF(C76="","",VLOOKUP(C76,Compte!$A$3:$B$346,2,0))</f>
        <v>Appointements salaires et commissions</v>
      </c>
      <c r="I76" s="1043" t="str">
        <f>IF(D76="","",VLOOKUP(D76,Compte!$A$3:$B$346,2,0))</f>
        <v/>
      </c>
    </row>
    <row r="77" spans="1:9">
      <c r="A77" s="1206"/>
      <c r="B77" s="1080" t="s">
        <v>219</v>
      </c>
      <c r="C77" s="1085"/>
      <c r="D77" s="1084">
        <v>422</v>
      </c>
      <c r="E77" s="1068"/>
      <c r="F77" s="1044">
        <v>200000</v>
      </c>
      <c r="G77" s="1077">
        <f t="shared" si="1"/>
        <v>200000</v>
      </c>
      <c r="H77" s="1042" t="str">
        <f>IF(C77="","",VLOOKUP(C77,Compte!$A$3:$B$346,2,0))</f>
        <v/>
      </c>
      <c r="I77" s="1043" t="str">
        <f>IF(D77="","",VLOOKUP(D77,Compte!$A$3:$B$346,2,0))</f>
        <v>Personnel rémunérations dues</v>
      </c>
    </row>
    <row r="78" spans="1:9">
      <c r="A78" s="1206"/>
      <c r="B78" s="1080"/>
      <c r="C78" s="1085"/>
      <c r="D78" s="1088"/>
      <c r="E78" s="1068"/>
      <c r="F78" s="1044"/>
      <c r="G78" s="1077">
        <f t="shared" si="1"/>
        <v>0</v>
      </c>
      <c r="H78" s="1042" t="str">
        <f>IF(C78="","",VLOOKUP(C78,Compte!$A$3:$B$346,2,0))</f>
        <v/>
      </c>
      <c r="I78" s="1043" t="str">
        <f>IF(D78="","",VLOOKUP(D78,Compte!$A$3:$B$346,2,0))</f>
        <v/>
      </c>
    </row>
    <row r="79" spans="1:9">
      <c r="A79" s="1206"/>
      <c r="B79" s="1080" t="s">
        <v>1433</v>
      </c>
      <c r="C79" s="1085">
        <v>422</v>
      </c>
      <c r="D79" s="1088"/>
      <c r="E79" s="1068">
        <v>60000</v>
      </c>
      <c r="F79" s="1044"/>
      <c r="G79" s="1077">
        <f t="shared" si="1"/>
        <v>60000</v>
      </c>
      <c r="H79" s="1042" t="str">
        <f>IF(C79="","",VLOOKUP(C79,Compte!$A$3:$B$346,2,0))</f>
        <v>Personnel rémunérations dues</v>
      </c>
      <c r="I79" s="1043" t="str">
        <f>IF(D79="","",VLOOKUP(D79,Compte!$A$3:$B$346,2,0))</f>
        <v/>
      </c>
    </row>
    <row r="80" spans="1:9">
      <c r="A80" s="1206"/>
      <c r="B80" s="1080" t="s">
        <v>1533</v>
      </c>
      <c r="C80" s="1085"/>
      <c r="D80" s="1089">
        <v>431</v>
      </c>
      <c r="E80" s="1068"/>
      <c r="F80" s="1044">
        <v>30000</v>
      </c>
      <c r="G80" s="1077">
        <f t="shared" si="1"/>
        <v>30000</v>
      </c>
      <c r="H80" s="1042" t="str">
        <f>IF(C80="","",VLOOKUP(C80,Compte!$A$3:$B$346,2,0))</f>
        <v/>
      </c>
      <c r="I80" s="1043" t="str">
        <f>IF(D80="","",VLOOKUP(D80,Compte!$A$3:$B$346,2,0))</f>
        <v>Sécurité sociale , alloc familiale, accident travail, retraite obligatoire...</v>
      </c>
    </row>
    <row r="81" spans="1:9">
      <c r="A81" s="1206"/>
      <c r="B81" s="1080" t="s">
        <v>1534</v>
      </c>
      <c r="C81" s="1085"/>
      <c r="D81" s="1089">
        <v>433</v>
      </c>
      <c r="E81" s="1068"/>
      <c r="F81" s="1044">
        <v>20000</v>
      </c>
      <c r="G81" s="1077">
        <f t="shared" si="1"/>
        <v>20000</v>
      </c>
      <c r="H81" s="1042" t="str">
        <f>IF(C81="","",VLOOKUP(C81,Compte!$A$3:$B$346,2,0))</f>
        <v/>
      </c>
      <c r="I81" s="1043" t="str">
        <f>IF(D81="","",VLOOKUP(D81,Compte!$A$3:$B$346,2,0))</f>
        <v>Autres organismes sociaux</v>
      </c>
    </row>
    <row r="82" spans="1:9">
      <c r="A82" s="1206"/>
      <c r="B82" s="1080" t="s">
        <v>1434</v>
      </c>
      <c r="C82" s="1085"/>
      <c r="D82" s="1089">
        <v>438</v>
      </c>
      <c r="E82" s="1068"/>
      <c r="F82" s="1044">
        <v>10000</v>
      </c>
      <c r="G82" s="1077">
        <f t="shared" si="1"/>
        <v>10000</v>
      </c>
      <c r="H82" s="1042" t="str">
        <f>IF(C82="","",VLOOKUP(C82,Compte!$A$3:$B$346,2,0))</f>
        <v/>
      </c>
      <c r="I82" s="1043" t="str">
        <f>IF(D82="","",VLOOKUP(D82,Compte!$A$3:$B$346,2,0))</f>
        <v>Mutuelle , organismes. Sociaux, Autres charges à payer</v>
      </c>
    </row>
    <row r="83" spans="1:9">
      <c r="A83" s="1206"/>
      <c r="B83" s="1080"/>
      <c r="C83" s="1085"/>
      <c r="D83" s="1089"/>
      <c r="E83" s="1068"/>
      <c r="F83" s="1044"/>
      <c r="G83" s="1077">
        <f t="shared" si="1"/>
        <v>0</v>
      </c>
      <c r="H83" s="1042" t="str">
        <f>IF(C83="","",VLOOKUP(C83,Compte!$A$3:$B$346,2,0))</f>
        <v/>
      </c>
      <c r="I83" s="1043" t="str">
        <f>IF(D83="","",VLOOKUP(D83,Compte!$A$3:$B$346,2,0))</f>
        <v/>
      </c>
    </row>
    <row r="84" spans="1:9">
      <c r="A84" s="1206"/>
      <c r="B84" s="1080" t="s">
        <v>1435</v>
      </c>
      <c r="C84" s="1085">
        <v>422</v>
      </c>
      <c r="D84" s="1088"/>
      <c r="E84" s="1068">
        <v>200000</v>
      </c>
      <c r="F84" s="1044"/>
      <c r="G84" s="1077">
        <f t="shared" si="1"/>
        <v>200000</v>
      </c>
      <c r="H84" s="1042" t="str">
        <f>IF(C84="","",VLOOKUP(C84,Compte!$A$3:$B$346,2,0))</f>
        <v>Personnel rémunérations dues</v>
      </c>
      <c r="I84" s="1043" t="str">
        <f>IF(D84="","",VLOOKUP(D84,Compte!$A$3:$B$346,2,0))</f>
        <v/>
      </c>
    </row>
    <row r="85" spans="1:9">
      <c r="A85" s="1206"/>
      <c r="B85" s="1080" t="s">
        <v>1482</v>
      </c>
      <c r="C85" s="1085"/>
      <c r="D85" s="1088">
        <f>C74</f>
        <v>421</v>
      </c>
      <c r="E85" s="1068"/>
      <c r="F85" s="1044">
        <v>20000</v>
      </c>
      <c r="G85" s="1077">
        <f t="shared" si="1"/>
        <v>20000</v>
      </c>
      <c r="H85" s="1042" t="str">
        <f>IF(C85="","",VLOOKUP(C85,Compte!$A$3:$B$346,2,0))</f>
        <v/>
      </c>
      <c r="I85" s="1043" t="str">
        <f>IF(D85="","",VLOOKUP(D85,Compte!$A$3:$B$346,2,0))</f>
        <v>Personnel, avances, acomptes salaires</v>
      </c>
    </row>
    <row r="86" spans="1:9">
      <c r="A86" s="1206"/>
      <c r="B86" s="1080" t="s">
        <v>830</v>
      </c>
      <c r="C86" s="1085"/>
      <c r="D86" s="1086">
        <v>520</v>
      </c>
      <c r="E86" s="1068"/>
      <c r="F86" s="1044">
        <v>180000</v>
      </c>
      <c r="G86" s="1077">
        <f t="shared" si="1"/>
        <v>180000</v>
      </c>
      <c r="H86" s="1042" t="str">
        <f>IF(C86="","",VLOOKUP(C86,Compte!$A$3:$B$346,2,0))</f>
        <v/>
      </c>
      <c r="I86" s="1043" t="str">
        <f>IF(D86="","",VLOOKUP(D86,Compte!$A$3:$B$346,2,0))</f>
        <v>Banques cpte en monnaie nationale</v>
      </c>
    </row>
    <row r="87" spans="1:9">
      <c r="A87" s="1206"/>
      <c r="B87" s="1080"/>
      <c r="C87" s="1085"/>
      <c r="D87" s="1086"/>
      <c r="E87" s="1068"/>
      <c r="F87" s="1044"/>
      <c r="G87" s="1077">
        <f t="shared" si="1"/>
        <v>0</v>
      </c>
      <c r="H87" s="1042" t="str">
        <f>IF(C87="","",VLOOKUP(C87,Compte!$A$3:$B$346,2,0))</f>
        <v/>
      </c>
      <c r="I87" s="1043" t="str">
        <f>IF(D87="","",VLOOKUP(D87,Compte!$A$3:$B$346,2,0))</f>
        <v/>
      </c>
    </row>
    <row r="88" spans="1:9">
      <c r="A88" s="1206"/>
      <c r="B88" s="1080" t="s">
        <v>1436</v>
      </c>
      <c r="C88" s="1090">
        <v>6662</v>
      </c>
      <c r="D88" s="1089"/>
      <c r="E88" s="1068">
        <v>70000</v>
      </c>
      <c r="F88" s="1044"/>
      <c r="G88" s="1077">
        <f t="shared" si="1"/>
        <v>70000</v>
      </c>
      <c r="H88" s="1042" t="str">
        <f>IF(C88="","",VLOOKUP(C88,Compte!$A$3:$B$346,2,0))</f>
        <v>Charges sociales</v>
      </c>
      <c r="I88" s="1043" t="str">
        <f>IF(D88="","",VLOOKUP(D88,Compte!$A$3:$B$346,2,0))</f>
        <v/>
      </c>
    </row>
    <row r="89" spans="1:9">
      <c r="A89" s="1206"/>
      <c r="B89" s="1080" t="s">
        <v>1533</v>
      </c>
      <c r="C89" s="1085"/>
      <c r="D89" s="1088">
        <v>431</v>
      </c>
      <c r="E89" s="1068"/>
      <c r="F89" s="1044">
        <v>40000</v>
      </c>
      <c r="G89" s="1077">
        <f t="shared" si="1"/>
        <v>40000</v>
      </c>
      <c r="H89" s="1042" t="str">
        <f>IF(C89="","",VLOOKUP(C89,Compte!$A$3:$B$346,2,0))</f>
        <v/>
      </c>
      <c r="I89" s="1043" t="str">
        <f>IF(D89="","",VLOOKUP(D89,Compte!$A$3:$B$346,2,0))</f>
        <v>Sécurité sociale , alloc familiale, accident travail, retraite obligatoire...</v>
      </c>
    </row>
    <row r="90" spans="1:9">
      <c r="A90" s="1206"/>
      <c r="B90" s="1080" t="s">
        <v>1534</v>
      </c>
      <c r="C90" s="1085"/>
      <c r="D90" s="1088">
        <v>433</v>
      </c>
      <c r="E90" s="1068"/>
      <c r="F90" s="1044">
        <v>20000</v>
      </c>
      <c r="G90" s="1077">
        <f t="shared" si="1"/>
        <v>20000</v>
      </c>
      <c r="H90" s="1042" t="str">
        <f>IF(C90="","",VLOOKUP(C90,Compte!$A$3:$B$346,2,0))</f>
        <v/>
      </c>
      <c r="I90" s="1043" t="str">
        <f>IF(D90="","",VLOOKUP(D90,Compte!$A$3:$B$346,2,0))</f>
        <v>Autres organismes sociaux</v>
      </c>
    </row>
    <row r="91" spans="1:9">
      <c r="A91" s="1206"/>
      <c r="B91" s="1080" t="s">
        <v>1434</v>
      </c>
      <c r="C91" s="1085"/>
      <c r="D91" s="1088">
        <v>438</v>
      </c>
      <c r="E91" s="1068"/>
      <c r="F91" s="1044">
        <v>10000</v>
      </c>
      <c r="G91" s="1077">
        <f t="shared" si="1"/>
        <v>10000</v>
      </c>
      <c r="H91" s="1042" t="str">
        <f>IF(C91="","",VLOOKUP(C91,Compte!$A$3:$B$346,2,0))</f>
        <v/>
      </c>
      <c r="I91" s="1043" t="str">
        <f>IF(D91="","",VLOOKUP(D91,Compte!$A$3:$B$346,2,0))</f>
        <v>Mutuelle , organismes. Sociaux, Autres charges à payer</v>
      </c>
    </row>
    <row r="92" spans="1:9">
      <c r="A92" s="1206"/>
      <c r="B92" s="606"/>
      <c r="C92" s="1046"/>
      <c r="D92" s="1048"/>
      <c r="E92" s="1068"/>
      <c r="F92" s="1044"/>
      <c r="G92" s="1077">
        <f t="shared" si="1"/>
        <v>0</v>
      </c>
      <c r="H92" s="1042" t="str">
        <f>IF(C92="","",VLOOKUP(C92,Compte!$A$3:$B$346,2,0))</f>
        <v/>
      </c>
      <c r="I92" s="1043" t="str">
        <f>IF(D92="","",VLOOKUP(D92,Compte!$A$3:$B$346,2,0))</f>
        <v/>
      </c>
    </row>
    <row r="93" spans="1:9">
      <c r="A93" s="1206"/>
      <c r="B93" s="606" t="s">
        <v>1473</v>
      </c>
      <c r="C93" s="1045">
        <v>411</v>
      </c>
      <c r="D93" s="1048"/>
      <c r="E93" s="1068">
        <v>1120</v>
      </c>
      <c r="F93" s="1044"/>
      <c r="G93" s="1077">
        <f t="shared" si="1"/>
        <v>1120</v>
      </c>
      <c r="H93" s="1042" t="str">
        <f>IF(C93="","",VLOOKUP(C93,Compte!$A$3:$B$346,2,0))</f>
        <v>Clients</v>
      </c>
      <c r="I93" s="1043" t="str">
        <f>IF(D93="","",VLOOKUP(D93,Compte!$A$3:$B$346,2,0))</f>
        <v/>
      </c>
    </row>
    <row r="94" spans="1:9">
      <c r="A94" s="1206"/>
      <c r="B94" s="606" t="s">
        <v>587</v>
      </c>
      <c r="C94" s="1078"/>
      <c r="D94" s="1048">
        <v>44312</v>
      </c>
      <c r="E94" s="1068"/>
      <c r="F94" s="1044">
        <v>20</v>
      </c>
      <c r="G94" s="1077">
        <f t="shared" si="1"/>
        <v>20</v>
      </c>
      <c r="H94" s="1042" t="str">
        <f>IF(C94="","",VLOOKUP(C94,Compte!$A$3:$B$346,2,0))</f>
        <v/>
      </c>
      <c r="I94" s="1043" t="str">
        <f>IF(D94="","",VLOOKUP(D94,Compte!$A$3:$B$346,2,0))</f>
        <v>T.V.A. facturée sur ventes à taux normal</v>
      </c>
    </row>
    <row r="95" spans="1:9">
      <c r="A95" s="1206"/>
      <c r="B95" s="606" t="s">
        <v>937</v>
      </c>
      <c r="C95" s="1046"/>
      <c r="D95" s="1048">
        <v>7011</v>
      </c>
      <c r="E95" s="1068"/>
      <c r="F95" s="1044">
        <v>1000</v>
      </c>
      <c r="G95" s="1077">
        <f t="shared" si="1"/>
        <v>1000</v>
      </c>
      <c r="H95" s="1042" t="str">
        <f>IF(C95="","",VLOOKUP(C95,Compte!$A$3:$B$346,2,0))</f>
        <v/>
      </c>
      <c r="I95" s="1043" t="str">
        <f>IF(D95="","",VLOOKUP(D95,Compte!$A$3:$B$346,2,0))</f>
        <v>Ventes Mach  &amp; P fini  à taux normal</v>
      </c>
    </row>
    <row r="96" spans="1:9">
      <c r="A96" s="1206"/>
      <c r="B96" s="606" t="s">
        <v>938</v>
      </c>
      <c r="C96" s="1046"/>
      <c r="D96" s="1048">
        <v>4194</v>
      </c>
      <c r="E96" s="1068"/>
      <c r="F96" s="1044">
        <v>100</v>
      </c>
      <c r="G96" s="1077">
        <f t="shared" si="1"/>
        <v>100</v>
      </c>
      <c r="H96" s="1042" t="str">
        <f>IF(C96="","",VLOOKUP(C96,Compte!$A$3:$B$346,2,0))</f>
        <v/>
      </c>
      <c r="I96" s="1043" t="str">
        <f>IF(D96="","",VLOOKUP(D96,Compte!$A$3:$B$346,2,0))</f>
        <v>Clients, dettes pour emballages et matériels consigné</v>
      </c>
    </row>
    <row r="97" spans="1:9">
      <c r="A97" s="1206"/>
      <c r="B97" s="606"/>
      <c r="C97" s="1046"/>
      <c r="D97" s="1048"/>
      <c r="E97" s="1068"/>
      <c r="F97" s="1044"/>
      <c r="G97" s="1077">
        <f t="shared" si="1"/>
        <v>0</v>
      </c>
      <c r="H97" s="1042" t="str">
        <f>IF(C97="","",VLOOKUP(C97,Compte!$A$3:$B$346,2,0))</f>
        <v/>
      </c>
      <c r="I97" s="1043" t="str">
        <f>IF(D97="","",VLOOKUP(D97,Compte!$A$3:$B$346,2,0))</f>
        <v/>
      </c>
    </row>
    <row r="98" spans="1:9">
      <c r="A98" s="1206"/>
      <c r="B98" s="606" t="s">
        <v>939</v>
      </c>
      <c r="C98" s="1046">
        <v>4194</v>
      </c>
      <c r="D98" s="1048"/>
      <c r="E98" s="1068">
        <v>100</v>
      </c>
      <c r="F98" s="1044"/>
      <c r="G98" s="1077">
        <f t="shared" si="1"/>
        <v>100</v>
      </c>
      <c r="H98" s="1042" t="str">
        <f>IF(C98="","",VLOOKUP(C98,Compte!$A$3:$B$346,2,0))</f>
        <v>Clients, dettes pour emballages et matériels consigné</v>
      </c>
      <c r="I98" s="1043" t="str">
        <f>IF(D98="","",VLOOKUP(D98,Compte!$A$3:$B$346,2,0))</f>
        <v/>
      </c>
    </row>
    <row r="99" spans="1:9">
      <c r="A99" s="1206"/>
      <c r="B99" s="606" t="s">
        <v>922</v>
      </c>
      <c r="C99" s="1046"/>
      <c r="D99" s="1048">
        <v>411</v>
      </c>
      <c r="E99" s="1068"/>
      <c r="F99" s="1044">
        <v>100</v>
      </c>
      <c r="G99" s="1077">
        <f t="shared" si="1"/>
        <v>100</v>
      </c>
      <c r="H99" s="1042" t="str">
        <f>IF(C99="","",VLOOKUP(C99,Compte!$A$3:$B$346,2,0))</f>
        <v/>
      </c>
      <c r="I99" s="1043" t="str">
        <f>IF(D99="","",VLOOKUP(D99,Compte!$A$3:$B$346,2,0))</f>
        <v>Clients</v>
      </c>
    </row>
    <row r="100" spans="1:9">
      <c r="A100" s="1206"/>
      <c r="B100" s="606"/>
      <c r="C100" s="1046"/>
      <c r="D100" s="1048"/>
      <c r="E100" s="1068"/>
      <c r="F100" s="1044"/>
      <c r="G100" s="1077">
        <f t="shared" si="1"/>
        <v>0</v>
      </c>
      <c r="H100" s="1042" t="str">
        <f>IF(C100="","",VLOOKUP(C100,Compte!$A$3:$B$346,2,0))</f>
        <v/>
      </c>
      <c r="I100" s="1043" t="str">
        <f>IF(D100="","",VLOOKUP(D100,Compte!$A$3:$B$346,2,0))</f>
        <v/>
      </c>
    </row>
    <row r="101" spans="1:9">
      <c r="A101" s="1206"/>
      <c r="B101" s="606" t="s">
        <v>1427</v>
      </c>
      <c r="C101" s="1046"/>
      <c r="D101" s="1048"/>
      <c r="E101" s="1068"/>
      <c r="F101" s="1044"/>
      <c r="G101" s="1077">
        <f t="shared" si="1"/>
        <v>0</v>
      </c>
      <c r="H101" s="1042" t="str">
        <f>IF(C101="","",VLOOKUP(C101,Compte!$A$3:$B$346,2,0))</f>
        <v/>
      </c>
      <c r="I101" s="1043" t="str">
        <f>IF(D101="","",VLOOKUP(D101,Compte!$A$3:$B$346,2,0))</f>
        <v/>
      </c>
    </row>
    <row r="102" spans="1:9">
      <c r="A102" s="1206"/>
      <c r="B102" s="606" t="s">
        <v>818</v>
      </c>
      <c r="C102" s="1046">
        <v>4194</v>
      </c>
      <c r="D102" s="1048"/>
      <c r="E102" s="1068">
        <v>100</v>
      </c>
      <c r="F102" s="1044"/>
      <c r="G102" s="1077">
        <f t="shared" si="1"/>
        <v>100</v>
      </c>
      <c r="H102" s="1042" t="str">
        <f>IF(C102="","",VLOOKUP(C102,Compte!$A$3:$B$346,2,0))</f>
        <v>Clients, dettes pour emballages et matériels consigné</v>
      </c>
      <c r="I102" s="1043" t="str">
        <f>IF(D102="","",VLOOKUP(D102,Compte!$A$3:$B$346,2,0))</f>
        <v/>
      </c>
    </row>
    <row r="103" spans="1:9">
      <c r="A103" s="1206"/>
      <c r="B103" s="606" t="s">
        <v>819</v>
      </c>
      <c r="C103" s="1046"/>
      <c r="D103" s="1048">
        <v>7074</v>
      </c>
      <c r="E103" s="1068"/>
      <c r="F103" s="1044">
        <v>20</v>
      </c>
      <c r="G103" s="1077">
        <f t="shared" si="1"/>
        <v>20</v>
      </c>
      <c r="H103" s="1042" t="str">
        <f>IF(C103="","",VLOOKUP(C103,Compte!$A$3:$B$346,2,0))</f>
        <v/>
      </c>
      <c r="I103" s="1043" t="str">
        <f>IF(D103="","",VLOOKUP(D103,Compte!$A$3:$B$346,2,0))</f>
        <v>Boni/reprises, cess. emballages</v>
      </c>
    </row>
    <row r="104" spans="1:9">
      <c r="A104" s="1206"/>
      <c r="B104" s="606" t="s">
        <v>587</v>
      </c>
      <c r="C104" s="1046"/>
      <c r="D104" s="1048">
        <v>44312</v>
      </c>
      <c r="E104" s="1068"/>
      <c r="F104" s="1044">
        <v>10</v>
      </c>
      <c r="G104" s="1077">
        <f t="shared" si="1"/>
        <v>10</v>
      </c>
      <c r="H104" s="1042" t="str">
        <f>IF(C104="","",VLOOKUP(C104,Compte!$A$3:$B$346,2,0))</f>
        <v/>
      </c>
      <c r="I104" s="1043" t="str">
        <f>IF(D104="","",VLOOKUP(D104,Compte!$A$3:$B$346,2,0))</f>
        <v>T.V.A. facturée sur ventes à taux normal</v>
      </c>
    </row>
    <row r="105" spans="1:9">
      <c r="A105" s="1206"/>
      <c r="B105" s="606" t="s">
        <v>922</v>
      </c>
      <c r="C105" s="1046"/>
      <c r="D105" s="1048">
        <v>411</v>
      </c>
      <c r="E105" s="1068"/>
      <c r="F105" s="1044">
        <v>70</v>
      </c>
      <c r="G105" s="1077">
        <f t="shared" si="1"/>
        <v>70</v>
      </c>
      <c r="H105" s="1042" t="str">
        <f>IF(C105="","",VLOOKUP(C105,Compte!$A$3:$B$346,2,0))</f>
        <v/>
      </c>
      <c r="I105" s="1043" t="str">
        <f>IF(D105="","",VLOOKUP(D105,Compte!$A$3:$B$346,2,0))</f>
        <v>Clients</v>
      </c>
    </row>
    <row r="106" spans="1:9">
      <c r="A106" s="1206"/>
      <c r="B106" s="606"/>
      <c r="C106" s="1046"/>
      <c r="D106" s="1048"/>
      <c r="E106" s="1583"/>
      <c r="F106" s="1583"/>
      <c r="G106" s="1077">
        <f t="shared" si="1"/>
        <v>0</v>
      </c>
      <c r="H106" s="1042" t="str">
        <f>IF(C106="","",VLOOKUP(C106,Compte!$A$3:$B$346,2,0))</f>
        <v/>
      </c>
      <c r="I106" s="1043" t="str">
        <f>IF(D106="","",VLOOKUP(D106,Compte!$A$3:$B$346,2,0))</f>
        <v/>
      </c>
    </row>
    <row r="107" spans="1:9">
      <c r="A107" s="1206"/>
      <c r="B107" s="606" t="s">
        <v>940</v>
      </c>
      <c r="C107" s="1046">
        <v>4194</v>
      </c>
      <c r="D107" s="1048"/>
      <c r="E107" s="1068">
        <v>100</v>
      </c>
      <c r="F107" s="1044"/>
      <c r="G107" s="1077">
        <f t="shared" si="1"/>
        <v>100</v>
      </c>
      <c r="H107" s="1042" t="str">
        <f>IF(C107="","",VLOOKUP(C107,Compte!$A$3:$B$346,2,0))</f>
        <v>Clients, dettes pour emballages et matériels consigné</v>
      </c>
      <c r="I107" s="1043" t="str">
        <f>IF(D107="","",VLOOKUP(D107,Compte!$A$3:$B$346,2,0))</f>
        <v/>
      </c>
    </row>
    <row r="108" spans="1:9">
      <c r="A108" s="1206"/>
      <c r="B108" s="606" t="s">
        <v>587</v>
      </c>
      <c r="C108" s="1046"/>
      <c r="D108" s="1048">
        <v>44312</v>
      </c>
      <c r="E108" s="1068"/>
      <c r="F108" s="1044">
        <v>10</v>
      </c>
      <c r="G108" s="1077">
        <f t="shared" si="1"/>
        <v>10</v>
      </c>
      <c r="H108" s="1042" t="str">
        <f>IF(C108="","",VLOOKUP(C108,Compte!$A$3:$B$346,2,0))</f>
        <v/>
      </c>
      <c r="I108" s="1043" t="str">
        <f>IF(D108="","",VLOOKUP(D108,Compte!$A$3:$B$346,2,0))</f>
        <v>T.V.A. facturée sur ventes à taux normal</v>
      </c>
    </row>
    <row r="109" spans="1:9">
      <c r="A109" s="1206"/>
      <c r="B109" s="606" t="s">
        <v>941</v>
      </c>
      <c r="C109" s="1046"/>
      <c r="D109" s="1048">
        <v>7500</v>
      </c>
      <c r="E109" s="1068"/>
      <c r="F109" s="1044">
        <v>90</v>
      </c>
      <c r="G109" s="1077">
        <f t="shared" si="1"/>
        <v>90</v>
      </c>
      <c r="H109" s="1042" t="str">
        <f>IF(C109="","",VLOOKUP(C109,Compte!$A$3:$B$346,2,0))</f>
        <v/>
      </c>
      <c r="I109" s="1043" t="str">
        <f>IF(D109="","",VLOOKUP(D109,Compte!$A$3:$B$346,2,0))</f>
        <v>Frais de port , livraison &amp; Autres produits</v>
      </c>
    </row>
    <row r="110" spans="1:9">
      <c r="A110" s="1206"/>
      <c r="B110" s="606"/>
      <c r="C110" s="1046"/>
      <c r="D110" s="1048"/>
      <c r="E110" s="1068"/>
      <c r="F110" s="1044"/>
      <c r="G110" s="1077">
        <f t="shared" si="1"/>
        <v>0</v>
      </c>
      <c r="H110" s="1042" t="str">
        <f>IF(C110="","",VLOOKUP(C110,Compte!$A$3:$B$346,2,0))</f>
        <v/>
      </c>
      <c r="I110" s="1043" t="str">
        <f>IF(D110="","",VLOOKUP(D110,Compte!$A$3:$B$346,2,0))</f>
        <v/>
      </c>
    </row>
    <row r="111" spans="1:9">
      <c r="A111" s="1206"/>
      <c r="B111" s="606" t="s">
        <v>942</v>
      </c>
      <c r="C111" s="1046">
        <v>411</v>
      </c>
      <c r="D111" s="1048"/>
      <c r="E111" s="1068">
        <v>5000</v>
      </c>
      <c r="F111" s="1044"/>
      <c r="G111" s="1077">
        <f t="shared" si="1"/>
        <v>5000</v>
      </c>
      <c r="H111" s="1042" t="str">
        <f>IF(C111="","",VLOOKUP(C111,Compte!$A$3:$B$346,2,0))</f>
        <v>Clients</v>
      </c>
      <c r="I111" s="1043" t="str">
        <f>IF(D111="","",VLOOKUP(D111,Compte!$A$3:$B$346,2,0))</f>
        <v/>
      </c>
    </row>
    <row r="112" spans="1:9">
      <c r="A112" s="1206"/>
      <c r="B112" s="606" t="s">
        <v>587</v>
      </c>
      <c r="C112" s="1046"/>
      <c r="D112" s="1048">
        <v>44312</v>
      </c>
      <c r="E112" s="1068"/>
      <c r="F112" s="1044">
        <v>100</v>
      </c>
      <c r="G112" s="1077">
        <f t="shared" si="1"/>
        <v>100</v>
      </c>
      <c r="H112" s="1042" t="str">
        <f>IF(C112="","",VLOOKUP(C112,Compte!$A$3:$B$346,2,0))</f>
        <v/>
      </c>
      <c r="I112" s="1043" t="str">
        <f>IF(D112="","",VLOOKUP(D112,Compte!$A$3:$B$346,2,0))</f>
        <v>T.V.A. facturée sur ventes à taux normal</v>
      </c>
    </row>
    <row r="113" spans="1:9">
      <c r="A113" s="1206"/>
      <c r="B113" s="606" t="s">
        <v>943</v>
      </c>
      <c r="C113" s="1046"/>
      <c r="D113" s="1048">
        <v>7031</v>
      </c>
      <c r="E113" s="1068"/>
      <c r="F113" s="1044">
        <v>4900</v>
      </c>
      <c r="G113" s="1077">
        <f t="shared" si="1"/>
        <v>4900</v>
      </c>
      <c r="H113" s="1042" t="str">
        <f>IF(C113="","",VLOOKUP(C113,Compte!$A$3:$B$346,2,0))</f>
        <v/>
      </c>
      <c r="I113" s="1043" t="str">
        <f>IF(D113="","",VLOOKUP(D113,Compte!$A$3:$B$346,2,0))</f>
        <v>Produits interm. &amp; résiduels à taux réduit</v>
      </c>
    </row>
    <row r="114" spans="1:9">
      <c r="A114" s="1206"/>
      <c r="B114" s="606"/>
      <c r="C114" s="1046"/>
      <c r="D114" s="1048"/>
      <c r="E114" s="1068"/>
      <c r="F114" s="1044"/>
      <c r="G114" s="1077">
        <f t="shared" si="1"/>
        <v>0</v>
      </c>
      <c r="H114" s="1042" t="str">
        <f>IF(C114="","",VLOOKUP(C114,Compte!$A$3:$B$346,2,0))</f>
        <v/>
      </c>
      <c r="I114" s="1043" t="str">
        <f>IF(D114="","",VLOOKUP(D114,Compte!$A$3:$B$346,2,0))</f>
        <v/>
      </c>
    </row>
    <row r="115" spans="1:9">
      <c r="A115" s="1206"/>
      <c r="B115" s="606" t="s">
        <v>944</v>
      </c>
      <c r="C115" s="1046">
        <v>4115</v>
      </c>
      <c r="D115" s="1048"/>
      <c r="E115" s="1068">
        <v>1120</v>
      </c>
      <c r="F115" s="1044"/>
      <c r="G115" s="1077">
        <f t="shared" si="1"/>
        <v>1120</v>
      </c>
      <c r="H115" s="1042" t="str">
        <f>IF(C115="","",VLOOKUP(C115,Compte!$A$3:$B$346,2,0))</f>
        <v>client et organismes étrangers</v>
      </c>
      <c r="I115" s="1043" t="str">
        <f>IF(D115="","",VLOOKUP(D115,Compte!$A$3:$B$346,2,0))</f>
        <v/>
      </c>
    </row>
    <row r="116" spans="1:9">
      <c r="A116" s="1206"/>
      <c r="B116" s="606" t="s">
        <v>1535</v>
      </c>
      <c r="C116" s="1046"/>
      <c r="D116" s="1048">
        <v>44322</v>
      </c>
      <c r="E116" s="1068"/>
      <c r="F116" s="1044">
        <v>120</v>
      </c>
      <c r="G116" s="1077">
        <f t="shared" si="1"/>
        <v>120</v>
      </c>
      <c r="H116" s="1042" t="str">
        <f>IF(C116="","",VLOOKUP(C116,Compte!$A$3:$B$346,2,0))</f>
        <v/>
      </c>
      <c r="I116" s="1043" t="str">
        <f>IF(D116="","",VLOOKUP(D116,Compte!$A$3:$B$346,2,0))</f>
        <v>T.V.A. facturée sur services à taux normal</v>
      </c>
    </row>
    <row r="117" spans="1:9">
      <c r="A117" s="1206"/>
      <c r="B117" s="606" t="s">
        <v>944</v>
      </c>
      <c r="C117" s="1046"/>
      <c r="D117" s="1048">
        <v>7062</v>
      </c>
      <c r="E117" s="1068"/>
      <c r="F117" s="1044">
        <v>1000</v>
      </c>
      <c r="G117" s="1077">
        <f t="shared" si="1"/>
        <v>1000</v>
      </c>
      <c r="H117" s="1042" t="str">
        <f>IF(C117="","",VLOOKUP(C117,Compte!$A$3:$B$346,2,0))</f>
        <v/>
      </c>
      <c r="I117" s="1043" t="str">
        <f>IF(D117="","",VLOOKUP(D117,Compte!$A$3:$B$346,2,0))</f>
        <v>Services vendus à taux normal</v>
      </c>
    </row>
    <row r="118" spans="1:9">
      <c r="A118" s="1206"/>
      <c r="B118" s="606"/>
      <c r="C118" s="1046"/>
      <c r="D118" s="1048"/>
      <c r="E118" s="1068"/>
      <c r="F118" s="1044"/>
      <c r="G118" s="1077">
        <f t="shared" si="1"/>
        <v>0</v>
      </c>
      <c r="H118" s="1042" t="str">
        <f>IF(C118="","",VLOOKUP(C118,Compte!$A$3:$B$346,2,0))</f>
        <v/>
      </c>
      <c r="I118" s="1043" t="str">
        <f>IF(D118="","",VLOOKUP(D118,Compte!$A$3:$B$346,2,0))</f>
        <v/>
      </c>
    </row>
    <row r="119" spans="1:9">
      <c r="A119" s="1206"/>
      <c r="B119" s="606" t="s">
        <v>947</v>
      </c>
      <c r="C119" s="1045">
        <v>6021</v>
      </c>
      <c r="D119" s="1048"/>
      <c r="E119" s="1068">
        <v>2000</v>
      </c>
      <c r="F119" s="1044"/>
      <c r="G119" s="1077">
        <f t="shared" si="1"/>
        <v>2000</v>
      </c>
      <c r="H119" s="1042" t="str">
        <f>IF(C119="","",VLOOKUP(C119,Compte!$A$3:$B$346,2,0))</f>
        <v>MP, fournitures &amp; Emb. dans l'UÉMOA à taux normal</v>
      </c>
      <c r="I119" s="1043" t="str">
        <f>IF(D119="","",VLOOKUP(D119,Compte!$A$3:$B$346,2,0))</f>
        <v/>
      </c>
    </row>
    <row r="120" spans="1:9">
      <c r="A120" s="1206"/>
      <c r="B120" s="606" t="s">
        <v>946</v>
      </c>
      <c r="C120" s="1078">
        <v>44532</v>
      </c>
      <c r="D120" s="1048"/>
      <c r="E120" s="1068">
        <v>100</v>
      </c>
      <c r="F120" s="1044"/>
      <c r="G120" s="1077">
        <f t="shared" si="1"/>
        <v>100</v>
      </c>
      <c r="H120" s="1042" t="str">
        <f>IF(C120="","",VLOOKUP(C120,Compte!$A$3:$B$346,2,0))</f>
        <v>T.V.A. récupérable intracommunautaire a taux normal</v>
      </c>
      <c r="I120" s="1043" t="str">
        <f>IF(D120="","",VLOOKUP(D120,Compte!$A$3:$B$346,2,0))</f>
        <v/>
      </c>
    </row>
    <row r="121" spans="1:9">
      <c r="A121" s="1206"/>
      <c r="B121" s="606" t="s">
        <v>945</v>
      </c>
      <c r="C121" s="1046"/>
      <c r="D121" s="1079">
        <v>4012</v>
      </c>
      <c r="E121" s="1068"/>
      <c r="F121" s="1044">
        <v>2100</v>
      </c>
      <c r="G121" s="1077">
        <f t="shared" si="1"/>
        <v>2100</v>
      </c>
      <c r="H121" s="1042" t="str">
        <f>IF(C121="","",VLOOKUP(C121,Compte!$A$3:$B$346,2,0))</f>
        <v/>
      </c>
      <c r="I121" s="1043" t="str">
        <f>IF(D121="","",VLOOKUP(D121,Compte!$A$3:$B$346,2,0))</f>
        <v>Fournisseurs étrangers</v>
      </c>
    </row>
    <row r="122" spans="1:9">
      <c r="A122" s="1206"/>
      <c r="B122" s="606"/>
      <c r="C122" s="1046"/>
      <c r="D122" s="1079"/>
      <c r="E122" s="1068"/>
      <c r="F122" s="1044"/>
      <c r="G122" s="1077">
        <f t="shared" si="1"/>
        <v>0</v>
      </c>
      <c r="H122" s="1042" t="str">
        <f>IF(C122="","",VLOOKUP(C122,Compte!$A$3:$B$346,2,0))</f>
        <v/>
      </c>
      <c r="I122" s="1043" t="str">
        <f>IF(D122="","",VLOOKUP(D122,Compte!$A$3:$B$346,2,0))</f>
        <v/>
      </c>
    </row>
    <row r="123" spans="1:9">
      <c r="A123" s="1206"/>
      <c r="B123" s="606" t="s">
        <v>948</v>
      </c>
      <c r="C123" s="1046">
        <v>6011</v>
      </c>
      <c r="D123" s="1079"/>
      <c r="E123" s="1068">
        <v>1000</v>
      </c>
      <c r="F123" s="1044"/>
      <c r="G123" s="1077">
        <f t="shared" si="1"/>
        <v>1000</v>
      </c>
      <c r="H123" s="1042" t="str">
        <f>IF(C123="","",VLOOKUP(C123,Compte!$A$3:$B$346,2,0))</f>
        <v>MP, fournitures &amp; Emb. À taux normal</v>
      </c>
      <c r="I123" s="1043" t="str">
        <f>IF(D123="","",VLOOKUP(D123,Compte!$A$3:$B$346,2,0))</f>
        <v/>
      </c>
    </row>
    <row r="124" spans="1:9">
      <c r="A124" s="1206"/>
      <c r="B124" s="606" t="s">
        <v>809</v>
      </c>
      <c r="C124" s="1046">
        <v>44522</v>
      </c>
      <c r="D124" s="1048"/>
      <c r="E124" s="1068">
        <v>100</v>
      </c>
      <c r="F124" s="1044"/>
      <c r="G124" s="1077">
        <f t="shared" si="1"/>
        <v>100</v>
      </c>
      <c r="H124" s="1042" t="str">
        <f>IF(C124="","",VLOOKUP(C124,Compte!$A$3:$B$346,2,0))</f>
        <v>T.V.A. récupérable sur achats a taux normal</v>
      </c>
      <c r="I124" s="1043" t="str">
        <f>IF(D124="","",VLOOKUP(D124,Compte!$A$3:$B$346,2,0))</f>
        <v/>
      </c>
    </row>
    <row r="125" spans="1:9">
      <c r="A125" s="1206"/>
      <c r="B125" s="606" t="s">
        <v>825</v>
      </c>
      <c r="C125" s="1046"/>
      <c r="D125" s="1048">
        <v>4011</v>
      </c>
      <c r="E125" s="1068"/>
      <c r="F125" s="1044">
        <v>1100</v>
      </c>
      <c r="G125" s="1077">
        <f t="shared" si="1"/>
        <v>1100</v>
      </c>
      <c r="H125" s="1042" t="str">
        <f>IF(C125="","",VLOOKUP(C125,Compte!$A$3:$B$346,2,0))</f>
        <v/>
      </c>
      <c r="I125" s="1043" t="str">
        <f>IF(D125="","",VLOOKUP(D125,Compte!$A$3:$B$346,2,0))</f>
        <v>Fournisseurs</v>
      </c>
    </row>
    <row r="126" spans="1:9">
      <c r="A126" s="1206"/>
      <c r="B126" s="606"/>
      <c r="C126" s="1046"/>
      <c r="D126" s="1048"/>
      <c r="E126" s="1068"/>
      <c r="F126" s="1044"/>
      <c r="G126" s="1077">
        <f t="shared" si="1"/>
        <v>0</v>
      </c>
      <c r="H126" s="1042" t="str">
        <f>IF(C126="","",VLOOKUP(C126,Compte!$A$3:$B$346,2,0))</f>
        <v/>
      </c>
      <c r="I126" s="1043" t="str">
        <f>IF(D126="","",VLOOKUP(D126,Compte!$A$3:$B$346,2,0))</f>
        <v/>
      </c>
    </row>
    <row r="127" spans="1:9">
      <c r="A127" s="1206"/>
      <c r="B127" s="606" t="s">
        <v>949</v>
      </c>
      <c r="C127" s="1046">
        <v>6013</v>
      </c>
      <c r="D127" s="1048"/>
      <c r="E127" s="1068">
        <v>50000</v>
      </c>
      <c r="F127" s="1044"/>
      <c r="G127" s="1077">
        <f t="shared" si="1"/>
        <v>50000</v>
      </c>
      <c r="H127" s="1042" t="str">
        <f>IF(C127="","",VLOOKUP(C127,Compte!$A$3:$B$346,2,0))</f>
        <v>Achats de marchandises hors UEMOA taux réduit</v>
      </c>
      <c r="I127" s="1043" t="str">
        <f>IF(D127="","",VLOOKUP(D127,Compte!$A$3:$B$346,2,0))</f>
        <v/>
      </c>
    </row>
    <row r="128" spans="1:9">
      <c r="A128" s="1206"/>
      <c r="B128" s="606" t="s">
        <v>868</v>
      </c>
      <c r="C128" s="1046">
        <v>44532</v>
      </c>
      <c r="D128" s="1048"/>
      <c r="E128" s="1068">
        <v>200</v>
      </c>
      <c r="F128" s="1044"/>
      <c r="G128" s="1077">
        <f t="shared" si="1"/>
        <v>200</v>
      </c>
      <c r="H128" s="1042" t="str">
        <f>IF(C128="","",VLOOKUP(C128,Compte!$A$3:$B$346,2,0))</f>
        <v>T.V.A. récupérable intracommunautaire a taux normal</v>
      </c>
      <c r="I128" s="1043" t="str">
        <f>IF(D128="","",VLOOKUP(D128,Compte!$A$3:$B$346,2,0))</f>
        <v/>
      </c>
    </row>
    <row r="129" spans="1:9">
      <c r="A129" s="1206"/>
      <c r="B129" s="606" t="s">
        <v>945</v>
      </c>
      <c r="C129" s="1046"/>
      <c r="D129" s="1048">
        <v>4012</v>
      </c>
      <c r="E129" s="1068"/>
      <c r="F129" s="1044">
        <v>50200</v>
      </c>
      <c r="G129" s="1077">
        <f t="shared" si="1"/>
        <v>50200</v>
      </c>
      <c r="H129" s="1042" t="str">
        <f>IF(C129="","",VLOOKUP(C129,Compte!$A$3:$B$346,2,0))</f>
        <v/>
      </c>
      <c r="I129" s="1043" t="str">
        <f>IF(D129="","",VLOOKUP(D129,Compte!$A$3:$B$346,2,0))</f>
        <v>Fournisseurs étrangers</v>
      </c>
    </row>
    <row r="130" spans="1:9">
      <c r="A130" s="1206"/>
      <c r="B130" s="606"/>
      <c r="C130" s="1046"/>
      <c r="D130" s="1048"/>
      <c r="E130" s="1068"/>
      <c r="F130" s="1044"/>
      <c r="G130" s="1077">
        <f t="shared" si="1"/>
        <v>0</v>
      </c>
      <c r="H130" s="1042" t="str">
        <f>IF(C130="","",VLOOKUP(C130,Compte!$A$3:$B$346,2,0))</f>
        <v/>
      </c>
      <c r="I130" s="1043" t="str">
        <f>IF(D130="","",VLOOKUP(D130,Compte!$A$3:$B$346,2,0))</f>
        <v/>
      </c>
    </row>
    <row r="131" spans="1:9">
      <c r="A131" s="1206"/>
      <c r="B131" s="606" t="s">
        <v>950</v>
      </c>
      <c r="C131" s="1046">
        <v>6014</v>
      </c>
      <c r="D131" s="1048"/>
      <c r="E131" s="1068">
        <v>10000</v>
      </c>
      <c r="F131" s="1044"/>
      <c r="G131" s="1077">
        <f t="shared" si="1"/>
        <v>10000</v>
      </c>
      <c r="H131" s="1042" t="str">
        <f>IF(C131="","",VLOOKUP(C131,Compte!$A$3:$B$346,2,0))</f>
        <v>MP et fournitures. hors UÉMOA taux normal</v>
      </c>
      <c r="I131" s="1043" t="str">
        <f>IF(D131="","",VLOOKUP(D131,Compte!$A$3:$B$346,2,0))</f>
        <v/>
      </c>
    </row>
    <row r="132" spans="1:9">
      <c r="A132" s="1206"/>
      <c r="B132" s="606" t="s">
        <v>809</v>
      </c>
      <c r="C132" s="1046">
        <v>44522</v>
      </c>
      <c r="D132" s="1048"/>
      <c r="E132" s="1068">
        <v>100</v>
      </c>
      <c r="F132" s="1044"/>
      <c r="G132" s="1077">
        <f t="shared" si="1"/>
        <v>100</v>
      </c>
      <c r="H132" s="1042" t="str">
        <f>IF(C132="","",VLOOKUP(C132,Compte!$A$3:$B$346,2,0))</f>
        <v>T.V.A. récupérable sur achats a taux normal</v>
      </c>
      <c r="I132" s="1043" t="str">
        <f>IF(D132="","",VLOOKUP(D132,Compte!$A$3:$B$346,2,0))</f>
        <v/>
      </c>
    </row>
    <row r="133" spans="1:9">
      <c r="A133" s="1206"/>
      <c r="B133" s="606" t="s">
        <v>951</v>
      </c>
      <c r="C133" s="1046">
        <v>6180</v>
      </c>
      <c r="D133" s="1048"/>
      <c r="E133" s="1068">
        <v>500</v>
      </c>
      <c r="F133" s="1044"/>
      <c r="G133" s="1077">
        <f t="shared" si="1"/>
        <v>500</v>
      </c>
      <c r="H133" s="1042" t="str">
        <f>IF(C133="","",VLOOKUP(C133,Compte!$A$3:$B$346,2,0))</f>
        <v>Autres frais d'achat et douanes</v>
      </c>
      <c r="I133" s="1043" t="str">
        <f>IF(D133="","",VLOOKUP(D133,Compte!$A$3:$B$346,2,0))</f>
        <v/>
      </c>
    </row>
    <row r="134" spans="1:9">
      <c r="A134" s="1206"/>
      <c r="B134" s="606" t="s">
        <v>823</v>
      </c>
      <c r="C134" s="1046"/>
      <c r="D134" s="1048">
        <v>4011</v>
      </c>
      <c r="E134" s="1068"/>
      <c r="F134" s="1044">
        <v>10600</v>
      </c>
      <c r="G134" s="1077">
        <f t="shared" si="1"/>
        <v>10600</v>
      </c>
      <c r="H134" s="1042" t="str">
        <f>IF(C134="","",VLOOKUP(C134,Compte!$A$3:$B$346,2,0))</f>
        <v/>
      </c>
      <c r="I134" s="1043" t="str">
        <f>IF(D134="","",VLOOKUP(D134,Compte!$A$3:$B$346,2,0))</f>
        <v>Fournisseurs</v>
      </c>
    </row>
    <row r="135" spans="1:9">
      <c r="A135" s="1206"/>
      <c r="B135" s="606"/>
      <c r="C135" s="1046"/>
      <c r="D135" s="1048"/>
      <c r="E135" s="1068"/>
      <c r="F135" s="1044"/>
      <c r="G135" s="1077">
        <f t="shared" si="1"/>
        <v>0</v>
      </c>
      <c r="H135" s="1042" t="str">
        <f>IF(C135="","",VLOOKUP(C135,Compte!$A$3:$B$346,2,0))</f>
        <v/>
      </c>
      <c r="I135" s="1043" t="str">
        <f>IF(D135="","",VLOOKUP(D135,Compte!$A$3:$B$346,2,0))</f>
        <v/>
      </c>
    </row>
    <row r="136" spans="1:9">
      <c r="A136" s="1206"/>
      <c r="B136" s="606" t="s">
        <v>952</v>
      </c>
      <c r="C136" s="1046">
        <v>104</v>
      </c>
      <c r="D136" s="1048"/>
      <c r="E136" s="1068">
        <v>1400</v>
      </c>
      <c r="F136" s="1044"/>
      <c r="G136" s="1077">
        <f t="shared" ref="G136:G199" si="2">IF(C136="",F136,E136)</f>
        <v>1400</v>
      </c>
      <c r="H136" s="1042" t="str">
        <f>IF(C136="","",VLOOKUP(C136,Compte!$A$3:$B$346,2,0))</f>
        <v>Compte de l'exploitant ou privée</v>
      </c>
      <c r="I136" s="1043" t="str">
        <f>IF(D136="","",VLOOKUP(D136,Compte!$A$3:$B$346,2,0))</f>
        <v/>
      </c>
    </row>
    <row r="137" spans="1:9">
      <c r="A137" s="1206"/>
      <c r="B137" s="606" t="s">
        <v>587</v>
      </c>
      <c r="C137" s="1046"/>
      <c r="D137" s="1048">
        <v>44312</v>
      </c>
      <c r="E137" s="1068"/>
      <c r="F137" s="1044">
        <v>200</v>
      </c>
      <c r="G137" s="1077">
        <f t="shared" si="2"/>
        <v>200</v>
      </c>
      <c r="H137" s="1042" t="str">
        <f>IF(C137="","",VLOOKUP(C137,Compte!$A$3:$B$346,2,0))</f>
        <v/>
      </c>
      <c r="I137" s="1043" t="str">
        <f>IF(D137="","",VLOOKUP(D137,Compte!$A$3:$B$346,2,0))</f>
        <v>T.V.A. facturée sur ventes à taux normal</v>
      </c>
    </row>
    <row r="138" spans="1:9">
      <c r="A138" s="1206"/>
      <c r="B138" s="606" t="s">
        <v>824</v>
      </c>
      <c r="C138" s="1046"/>
      <c r="D138" s="1048">
        <v>7582</v>
      </c>
      <c r="E138" s="1068"/>
      <c r="F138" s="1044">
        <v>1200</v>
      </c>
      <c r="G138" s="1077">
        <f t="shared" si="2"/>
        <v>1200</v>
      </c>
      <c r="H138" s="1042" t="str">
        <f>IF(C138="","",VLOOKUP(C138,Compte!$A$3:$B$346,2,0))</f>
        <v/>
      </c>
      <c r="I138" s="1043" t="str">
        <f>IF(D138="","",VLOOKUP(D138,Compte!$A$3:$B$346,2,0))</f>
        <v>Autoconsommation à taux normal</v>
      </c>
    </row>
    <row r="139" spans="1:9">
      <c r="A139" s="1206"/>
      <c r="B139" s="606"/>
      <c r="C139" s="1046"/>
      <c r="D139" s="1048"/>
      <c r="E139" s="1068"/>
      <c r="F139" s="1044"/>
      <c r="G139" s="1077">
        <f t="shared" si="2"/>
        <v>0</v>
      </c>
      <c r="H139" s="1042" t="str">
        <f>IF(C139="","",VLOOKUP(C139,Compte!$A$3:$B$346,2,0))</f>
        <v/>
      </c>
      <c r="I139" s="1043" t="str">
        <f>IF(D139="","",VLOOKUP(D139,Compte!$A$3:$B$346,2,0))</f>
        <v/>
      </c>
    </row>
    <row r="140" spans="1:9">
      <c r="A140" s="1206"/>
      <c r="B140" s="606" t="s">
        <v>953</v>
      </c>
      <c r="C140" s="1046">
        <v>6011</v>
      </c>
      <c r="D140" s="1048"/>
      <c r="E140" s="1068">
        <v>500</v>
      </c>
      <c r="F140" s="1044"/>
      <c r="G140" s="1077">
        <f t="shared" si="2"/>
        <v>500</v>
      </c>
      <c r="H140" s="1042" t="str">
        <f>IF(C140="","",VLOOKUP(C140,Compte!$A$3:$B$346,2,0))</f>
        <v>MP, fournitures &amp; Emb. À taux normal</v>
      </c>
      <c r="I140" s="1043" t="str">
        <f>IF(D140="","",VLOOKUP(D140,Compte!$A$3:$B$346,2,0))</f>
        <v/>
      </c>
    </row>
    <row r="141" spans="1:9">
      <c r="A141" s="1206"/>
      <c r="B141" s="606" t="s">
        <v>587</v>
      </c>
      <c r="C141" s="1046">
        <v>44522</v>
      </c>
      <c r="D141" s="1048"/>
      <c r="E141" s="1068">
        <v>10</v>
      </c>
      <c r="F141" s="1044"/>
      <c r="G141" s="1077">
        <f t="shared" si="2"/>
        <v>10</v>
      </c>
      <c r="H141" s="1042" t="str">
        <f>IF(C141="","",VLOOKUP(C141,Compte!$A$3:$B$346,2,0))</f>
        <v>T.V.A. récupérable sur achats a taux normal</v>
      </c>
      <c r="I141" s="1043" t="str">
        <f>IF(D141="","",VLOOKUP(D141,Compte!$A$3:$B$346,2,0))</f>
        <v/>
      </c>
    </row>
    <row r="142" spans="1:9">
      <c r="A142" s="1206"/>
      <c r="B142" s="606" t="s">
        <v>954</v>
      </c>
      <c r="C142" s="1046"/>
      <c r="D142" s="1048">
        <v>7730</v>
      </c>
      <c r="E142" s="1068"/>
      <c r="F142" s="1044">
        <v>10</v>
      </c>
      <c r="G142" s="1077">
        <f t="shared" si="2"/>
        <v>10</v>
      </c>
      <c r="H142" s="1042" t="str">
        <f>IF(C142="","",VLOOKUP(C142,Compte!$A$3:$B$346,2,0))</f>
        <v/>
      </c>
      <c r="I142" s="1043" t="str">
        <f>IF(D142="","",VLOOKUP(D142,Compte!$A$3:$B$346,2,0))</f>
        <v>Escomptes obtenus à taux réduit</v>
      </c>
    </row>
    <row r="143" spans="1:9">
      <c r="A143" s="1206"/>
      <c r="B143" s="606" t="s">
        <v>825</v>
      </c>
      <c r="C143" s="1046"/>
      <c r="D143" s="1048">
        <v>4011</v>
      </c>
      <c r="E143" s="1068"/>
      <c r="F143" s="1044">
        <v>500</v>
      </c>
      <c r="G143" s="1077">
        <f t="shared" si="2"/>
        <v>500</v>
      </c>
      <c r="H143" s="1042" t="str">
        <f>IF(C143="","",VLOOKUP(C143,Compte!$A$3:$B$346,2,0))</f>
        <v/>
      </c>
      <c r="I143" s="1043" t="str">
        <f>IF(D143="","",VLOOKUP(D143,Compte!$A$3:$B$346,2,0))</f>
        <v>Fournisseurs</v>
      </c>
    </row>
    <row r="144" spans="1:9">
      <c r="A144" s="1206"/>
      <c r="B144" s="606"/>
      <c r="C144" s="1046"/>
      <c r="D144" s="1048"/>
      <c r="E144" s="1068"/>
      <c r="F144" s="1044"/>
      <c r="G144" s="1077">
        <f t="shared" si="2"/>
        <v>0</v>
      </c>
      <c r="H144" s="1042" t="str">
        <f>IF(C144="","",VLOOKUP(C144,Compte!$A$3:$B$346,2,0))</f>
        <v/>
      </c>
      <c r="I144" s="1043" t="str">
        <f>IF(D144="","",VLOOKUP(D144,Compte!$A$3:$B$346,2,0))</f>
        <v/>
      </c>
    </row>
    <row r="145" spans="1:9">
      <c r="A145" s="1206"/>
      <c r="B145" s="606" t="s">
        <v>826</v>
      </c>
      <c r="C145" s="1046">
        <v>6051</v>
      </c>
      <c r="D145" s="1048"/>
      <c r="E145" s="1068">
        <v>300</v>
      </c>
      <c r="F145" s="1044"/>
      <c r="G145" s="1077">
        <f t="shared" si="2"/>
        <v>300</v>
      </c>
      <c r="H145" s="1042" t="str">
        <f>IF(C145="","",VLOOKUP(C145,Compte!$A$3:$B$346,2,0))</f>
        <v>Fournitures non stockables -Eau</v>
      </c>
      <c r="I145" s="1043" t="str">
        <f>IF(D145="","",VLOOKUP(D145,Compte!$A$3:$B$346,2,0))</f>
        <v/>
      </c>
    </row>
    <row r="146" spans="1:9">
      <c r="A146" s="1206"/>
      <c r="B146" s="606" t="s">
        <v>830</v>
      </c>
      <c r="C146" s="1046"/>
      <c r="D146" s="1048">
        <v>520</v>
      </c>
      <c r="E146" s="1068"/>
      <c r="F146" s="1044">
        <v>300</v>
      </c>
      <c r="G146" s="1077">
        <f t="shared" si="2"/>
        <v>300</v>
      </c>
      <c r="H146" s="1042" t="str">
        <f>IF(C146="","",VLOOKUP(C146,Compte!$A$3:$B$346,2,0))</f>
        <v/>
      </c>
      <c r="I146" s="1043" t="str">
        <f>IF(D146="","",VLOOKUP(D146,Compte!$A$3:$B$346,2,0))</f>
        <v>Banques cpte en monnaie nationale</v>
      </c>
    </row>
    <row r="147" spans="1:9">
      <c r="A147" s="1206"/>
      <c r="B147" s="606"/>
      <c r="C147" s="1046"/>
      <c r="D147" s="1048"/>
      <c r="E147" s="1068"/>
      <c r="F147" s="1044"/>
      <c r="G147" s="1077">
        <f t="shared" si="2"/>
        <v>0</v>
      </c>
      <c r="H147" s="1042" t="str">
        <f>IF(C147="","",VLOOKUP(C147,Compte!$A$3:$B$346,2,0))</f>
        <v/>
      </c>
      <c r="I147" s="1043" t="str">
        <f>IF(D147="","",VLOOKUP(D147,Compte!$A$3:$B$346,2,0))</f>
        <v/>
      </c>
    </row>
    <row r="148" spans="1:9">
      <c r="A148" s="1206"/>
      <c r="B148" s="606" t="s">
        <v>955</v>
      </c>
      <c r="C148" s="1046">
        <v>6051</v>
      </c>
      <c r="D148" s="1048"/>
      <c r="E148" s="1068">
        <v>500</v>
      </c>
      <c r="F148" s="1044"/>
      <c r="G148" s="1077">
        <f t="shared" si="2"/>
        <v>500</v>
      </c>
      <c r="H148" s="1042" t="str">
        <f>IF(C148="","",VLOOKUP(C148,Compte!$A$3:$B$346,2,0))</f>
        <v>Fournitures non stockables -Eau</v>
      </c>
      <c r="I148" s="1043" t="str">
        <f>IF(D148="","",VLOOKUP(D148,Compte!$A$3:$B$346,2,0))</f>
        <v/>
      </c>
    </row>
    <row r="149" spans="1:9">
      <c r="A149" s="1206"/>
      <c r="B149" s="606" t="s">
        <v>827</v>
      </c>
      <c r="C149" s="1046">
        <v>44522</v>
      </c>
      <c r="D149" s="1048"/>
      <c r="E149" s="1068">
        <v>20</v>
      </c>
      <c r="F149" s="1044"/>
      <c r="G149" s="1077">
        <f t="shared" si="2"/>
        <v>20</v>
      </c>
      <c r="H149" s="1042" t="str">
        <f>IF(C149="","",VLOOKUP(C149,Compte!$A$3:$B$346,2,0))</f>
        <v>T.V.A. récupérable sur achats a taux normal</v>
      </c>
      <c r="I149" s="1043" t="str">
        <f>IF(D149="","",VLOOKUP(D149,Compte!$A$3:$B$346,2,0))</f>
        <v/>
      </c>
    </row>
    <row r="150" spans="1:9">
      <c r="A150" s="1206"/>
      <c r="B150" s="606" t="s">
        <v>825</v>
      </c>
      <c r="C150" s="1046"/>
      <c r="D150" s="1048">
        <v>4011</v>
      </c>
      <c r="E150" s="1068"/>
      <c r="F150" s="1044">
        <v>520</v>
      </c>
      <c r="G150" s="1077">
        <f t="shared" si="2"/>
        <v>520</v>
      </c>
      <c r="H150" s="1042" t="str">
        <f>IF(C150="","",VLOOKUP(C150,Compte!$A$3:$B$346,2,0))</f>
        <v/>
      </c>
      <c r="I150" s="1043" t="str">
        <f>IF(D150="","",VLOOKUP(D150,Compte!$A$3:$B$346,2,0))</f>
        <v>Fournisseurs</v>
      </c>
    </row>
    <row r="151" spans="1:9">
      <c r="A151" s="1206"/>
      <c r="B151" s="606"/>
      <c r="C151" s="1046"/>
      <c r="D151" s="1048"/>
      <c r="E151" s="1068"/>
      <c r="F151" s="1044"/>
      <c r="G151" s="1077">
        <f t="shared" si="2"/>
        <v>0</v>
      </c>
      <c r="H151" s="1042" t="str">
        <f>IF(C151="","",VLOOKUP(C151,Compte!$A$3:$B$346,2,0))</f>
        <v/>
      </c>
      <c r="I151" s="1043" t="str">
        <f>IF(D151="","",VLOOKUP(D151,Compte!$A$3:$B$346,2,0))</f>
        <v/>
      </c>
    </row>
    <row r="152" spans="1:9">
      <c r="A152" s="1206"/>
      <c r="B152" s="606" t="s">
        <v>956</v>
      </c>
      <c r="C152" s="1046">
        <v>6052</v>
      </c>
      <c r="D152" s="1048"/>
      <c r="E152" s="1068">
        <v>100</v>
      </c>
      <c r="F152" s="1044"/>
      <c r="G152" s="1077">
        <f t="shared" si="2"/>
        <v>100</v>
      </c>
      <c r="H152" s="1042" t="str">
        <f>IF(C152="","",VLOOKUP(C152,Compte!$A$3:$B$346,2,0))</f>
        <v>Fournitures non stockables - Electricité</v>
      </c>
      <c r="I152" s="1043" t="str">
        <f>IF(D152="","",VLOOKUP(D152,Compte!$A$3:$B$346,2,0))</f>
        <v/>
      </c>
    </row>
    <row r="153" spans="1:9">
      <c r="A153" s="1206"/>
      <c r="B153" s="606" t="s">
        <v>809</v>
      </c>
      <c r="C153" s="1046">
        <v>44522</v>
      </c>
      <c r="D153" s="1048"/>
      <c r="E153" s="1068">
        <v>10</v>
      </c>
      <c r="F153" s="1044"/>
      <c r="G153" s="1077">
        <f t="shared" si="2"/>
        <v>10</v>
      </c>
      <c r="H153" s="1042" t="str">
        <f>IF(C153="","",VLOOKUP(C153,Compte!$A$3:$B$346,2,0))</f>
        <v>T.V.A. récupérable sur achats a taux normal</v>
      </c>
      <c r="I153" s="1043" t="str">
        <f>IF(D153="","",VLOOKUP(D153,Compte!$A$3:$B$346,2,0))</f>
        <v/>
      </c>
    </row>
    <row r="154" spans="1:9">
      <c r="A154" s="1206"/>
      <c r="B154" s="606" t="s">
        <v>825</v>
      </c>
      <c r="C154" s="1046"/>
      <c r="D154" s="1048">
        <v>4011</v>
      </c>
      <c r="E154" s="1068"/>
      <c r="F154" s="1044">
        <v>110</v>
      </c>
      <c r="G154" s="1077">
        <f t="shared" si="2"/>
        <v>110</v>
      </c>
      <c r="H154" s="1042" t="str">
        <f>IF(C154="","",VLOOKUP(C154,Compte!$A$3:$B$346,2,0))</f>
        <v/>
      </c>
      <c r="I154" s="1043" t="str">
        <f>IF(D154="","",VLOOKUP(D154,Compte!$A$3:$B$346,2,0))</f>
        <v>Fournisseurs</v>
      </c>
    </row>
    <row r="155" spans="1:9">
      <c r="A155" s="1206"/>
      <c r="B155" s="606"/>
      <c r="C155" s="1046"/>
      <c r="D155" s="1048"/>
      <c r="E155" s="1068"/>
      <c r="F155" s="1044"/>
      <c r="G155" s="1077">
        <f t="shared" si="2"/>
        <v>0</v>
      </c>
      <c r="H155" s="1042" t="str">
        <f>IF(C155="","",VLOOKUP(C155,Compte!$A$3:$B$346,2,0))</f>
        <v/>
      </c>
      <c r="I155" s="1043" t="str">
        <f>IF(D155="","",VLOOKUP(D155,Compte!$A$3:$B$346,2,0))</f>
        <v/>
      </c>
    </row>
    <row r="156" spans="1:9">
      <c r="A156" s="1206"/>
      <c r="B156" s="606" t="s">
        <v>957</v>
      </c>
      <c r="C156" s="1046">
        <v>6053</v>
      </c>
      <c r="D156" s="1048"/>
      <c r="E156" s="1068">
        <v>600</v>
      </c>
      <c r="F156" s="1044"/>
      <c r="G156" s="1077">
        <f t="shared" si="2"/>
        <v>600</v>
      </c>
      <c r="H156" s="1042" t="str">
        <f>IF(C156="","",VLOOKUP(C156,Compte!$A$3:$B$346,2,0))</f>
        <v>Fournitures non stockables – Autres énergies</v>
      </c>
      <c r="I156" s="1043" t="str">
        <f>IF(D156="","",VLOOKUP(D156,Compte!$A$3:$B$346,2,0))</f>
        <v/>
      </c>
    </row>
    <row r="157" spans="1:9">
      <c r="A157" s="1206"/>
      <c r="B157" s="606" t="s">
        <v>828</v>
      </c>
      <c r="C157" s="1046">
        <v>44522</v>
      </c>
      <c r="D157" s="1048"/>
      <c r="E157" s="1068">
        <v>30</v>
      </c>
      <c r="F157" s="1044"/>
      <c r="G157" s="1077">
        <f t="shared" si="2"/>
        <v>30</v>
      </c>
      <c r="H157" s="1042" t="str">
        <f>IF(C157="","",VLOOKUP(C157,Compte!$A$3:$B$346,2,0))</f>
        <v>T.V.A. récupérable sur achats a taux normal</v>
      </c>
      <c r="I157" s="1043" t="str">
        <f>IF(D157="","",VLOOKUP(D157,Compte!$A$3:$B$346,2,0))</f>
        <v/>
      </c>
    </row>
    <row r="158" spans="1:9">
      <c r="A158" s="1206"/>
      <c r="B158" s="606" t="s">
        <v>825</v>
      </c>
      <c r="C158" s="1046"/>
      <c r="D158" s="1048">
        <v>4011</v>
      </c>
      <c r="E158" s="1068"/>
      <c r="F158" s="1044">
        <v>630</v>
      </c>
      <c r="G158" s="1077">
        <f t="shared" si="2"/>
        <v>630</v>
      </c>
      <c r="H158" s="1042" t="str">
        <f>IF(C158="","",VLOOKUP(C158,Compte!$A$3:$B$346,2,0))</f>
        <v/>
      </c>
      <c r="I158" s="1043" t="str">
        <f>IF(D158="","",VLOOKUP(D158,Compte!$A$3:$B$346,2,0))</f>
        <v>Fournisseurs</v>
      </c>
    </row>
    <row r="159" spans="1:9">
      <c r="A159" s="1206"/>
      <c r="B159" s="606"/>
      <c r="C159" s="1046"/>
      <c r="D159" s="1048"/>
      <c r="E159" s="1068"/>
      <c r="F159" s="1044"/>
      <c r="G159" s="1077">
        <f t="shared" si="2"/>
        <v>0</v>
      </c>
      <c r="H159" s="1042" t="str">
        <f>IF(C159="","",VLOOKUP(C159,Compte!$A$3:$B$346,2,0))</f>
        <v/>
      </c>
      <c r="I159" s="1043" t="str">
        <f>IF(D159="","",VLOOKUP(D159,Compte!$A$3:$B$346,2,0))</f>
        <v/>
      </c>
    </row>
    <row r="160" spans="1:9">
      <c r="A160" s="1206"/>
      <c r="B160" s="606" t="s">
        <v>829</v>
      </c>
      <c r="C160" s="1046">
        <v>6054</v>
      </c>
      <c r="D160" s="1048"/>
      <c r="E160" s="1068">
        <v>200</v>
      </c>
      <c r="F160" s="1044"/>
      <c r="G160" s="1077">
        <f t="shared" si="2"/>
        <v>200</v>
      </c>
      <c r="H160" s="1042" t="str">
        <f>IF(C160="","",VLOOKUP(C160,Compte!$A$3:$B$346,2,0))</f>
        <v>Fournitures d'entretien non stockables</v>
      </c>
      <c r="I160" s="1043" t="str">
        <f>IF(D160="","",VLOOKUP(D160,Compte!$A$3:$B$346,2,0))</f>
        <v/>
      </c>
    </row>
    <row r="161" spans="1:9">
      <c r="A161" s="1206"/>
      <c r="B161" s="606" t="s">
        <v>809</v>
      </c>
      <c r="C161" s="1046">
        <v>44522</v>
      </c>
      <c r="D161" s="1048"/>
      <c r="E161" s="1068">
        <v>20</v>
      </c>
      <c r="F161" s="1044"/>
      <c r="G161" s="1077">
        <f t="shared" si="2"/>
        <v>20</v>
      </c>
      <c r="H161" s="1042" t="str">
        <f>IF(C161="","",VLOOKUP(C161,Compte!$A$3:$B$346,2,0))</f>
        <v>T.V.A. récupérable sur achats a taux normal</v>
      </c>
      <c r="I161" s="1043" t="str">
        <f>IF(D161="","",VLOOKUP(D161,Compte!$A$3:$B$346,2,0))</f>
        <v/>
      </c>
    </row>
    <row r="162" spans="1:9">
      <c r="A162" s="1206"/>
      <c r="B162" s="606" t="s">
        <v>831</v>
      </c>
      <c r="C162" s="1046"/>
      <c r="D162" s="1048">
        <v>570</v>
      </c>
      <c r="E162" s="1068"/>
      <c r="F162" s="1044">
        <v>220</v>
      </c>
      <c r="G162" s="1077">
        <f t="shared" si="2"/>
        <v>220</v>
      </c>
      <c r="H162" s="1042" t="str">
        <f>IF(C162="","",VLOOKUP(C162,Compte!$A$3:$B$346,2,0))</f>
        <v/>
      </c>
      <c r="I162" s="1043" t="str">
        <f>IF(D162="","",VLOOKUP(D162,Compte!$A$3:$B$346,2,0))</f>
        <v>Caisses</v>
      </c>
    </row>
    <row r="163" spans="1:9">
      <c r="A163" s="1206"/>
      <c r="B163" s="606"/>
      <c r="C163" s="1046"/>
      <c r="D163" s="1048"/>
      <c r="E163" s="1068"/>
      <c r="F163" s="1044"/>
      <c r="G163" s="1077">
        <f t="shared" si="2"/>
        <v>0</v>
      </c>
      <c r="H163" s="1042" t="str">
        <f>IF(C163="","",VLOOKUP(C163,Compte!$A$3:$B$346,2,0))</f>
        <v/>
      </c>
      <c r="I163" s="1043" t="str">
        <f>IF(D163="","",VLOOKUP(D163,Compte!$A$3:$B$346,2,0))</f>
        <v/>
      </c>
    </row>
    <row r="164" spans="1:9">
      <c r="A164" s="1206"/>
      <c r="B164" s="606" t="s">
        <v>1447</v>
      </c>
      <c r="C164" s="1046">
        <v>6055</v>
      </c>
      <c r="D164" s="1048"/>
      <c r="E164" s="1068">
        <v>100</v>
      </c>
      <c r="F164" s="1044"/>
      <c r="G164" s="1077">
        <f t="shared" si="2"/>
        <v>100</v>
      </c>
      <c r="H164" s="1042" t="str">
        <f>IF(C164="","",VLOOKUP(C164,Compte!$A$3:$B$346,2,0))</f>
        <v>Fournitures de bureau et petit logiciel bureautique</v>
      </c>
      <c r="I164" s="1043" t="str">
        <f>IF(D164="","",VLOOKUP(D164,Compte!$A$3:$B$346,2,0))</f>
        <v/>
      </c>
    </row>
    <row r="165" spans="1:9">
      <c r="A165" s="1206"/>
      <c r="B165" s="606" t="s">
        <v>809</v>
      </c>
      <c r="C165" s="1046">
        <v>44522</v>
      </c>
      <c r="D165" s="1048"/>
      <c r="E165" s="1068">
        <v>20</v>
      </c>
      <c r="F165" s="1044"/>
      <c r="G165" s="1077">
        <f t="shared" si="2"/>
        <v>20</v>
      </c>
      <c r="H165" s="1042" t="str">
        <f>IF(C165="","",VLOOKUP(C165,Compte!$A$3:$B$346,2,0))</f>
        <v>T.V.A. récupérable sur achats a taux normal</v>
      </c>
      <c r="I165" s="1043" t="str">
        <f>IF(D165="","",VLOOKUP(D165,Compte!$A$3:$B$346,2,0))</f>
        <v/>
      </c>
    </row>
    <row r="166" spans="1:9">
      <c r="A166" s="1206"/>
      <c r="B166" s="606" t="s">
        <v>830</v>
      </c>
      <c r="C166" s="1046"/>
      <c r="D166" s="1048">
        <v>520</v>
      </c>
      <c r="E166" s="1068"/>
      <c r="F166" s="1044">
        <v>120</v>
      </c>
      <c r="G166" s="1077">
        <f t="shared" si="2"/>
        <v>120</v>
      </c>
      <c r="H166" s="1042" t="str">
        <f>IF(C166="","",VLOOKUP(C166,Compte!$A$3:$B$346,2,0))</f>
        <v/>
      </c>
      <c r="I166" s="1043" t="str">
        <f>IF(D166="","",VLOOKUP(D166,Compte!$A$3:$B$346,2,0))</f>
        <v>Banques cpte en monnaie nationale</v>
      </c>
    </row>
    <row r="167" spans="1:9">
      <c r="A167" s="1206"/>
      <c r="B167" s="606"/>
      <c r="C167" s="1046"/>
      <c r="D167" s="1048"/>
      <c r="E167" s="1068"/>
      <c r="F167" s="1044"/>
      <c r="G167" s="1077">
        <f t="shared" si="2"/>
        <v>0</v>
      </c>
      <c r="H167" s="1042" t="str">
        <f>IF(C167="","",VLOOKUP(C167,Compte!$A$3:$B$346,2,0))</f>
        <v/>
      </c>
      <c r="I167" s="1043" t="str">
        <f>IF(D167="","",VLOOKUP(D167,Compte!$A$3:$B$346,2,0))</f>
        <v/>
      </c>
    </row>
    <row r="168" spans="1:9">
      <c r="A168" s="1206"/>
      <c r="B168" s="606" t="s">
        <v>1448</v>
      </c>
      <c r="C168" s="1046">
        <v>6056</v>
      </c>
      <c r="D168" s="1048"/>
      <c r="E168" s="1068">
        <v>300</v>
      </c>
      <c r="F168" s="1044"/>
      <c r="G168" s="1077">
        <f t="shared" si="2"/>
        <v>300</v>
      </c>
      <c r="H168" s="1042" t="str">
        <f>IF(C168="","",VLOOKUP(C168,Compte!$A$3:$B$346,2,0))</f>
        <v>Achats de petit matériel et outillage</v>
      </c>
      <c r="I168" s="1043" t="str">
        <f>IF(D168="","",VLOOKUP(D168,Compte!$A$3:$B$346,2,0))</f>
        <v/>
      </c>
    </row>
    <row r="169" spans="1:9">
      <c r="A169" s="1206"/>
      <c r="B169" s="606" t="s">
        <v>809</v>
      </c>
      <c r="C169" s="1046">
        <v>44522</v>
      </c>
      <c r="D169" s="1048"/>
      <c r="E169" s="1068">
        <v>18</v>
      </c>
      <c r="F169" s="1044"/>
      <c r="G169" s="1077">
        <f t="shared" si="2"/>
        <v>18</v>
      </c>
      <c r="H169" s="1042" t="str">
        <f>IF(C169="","",VLOOKUP(C169,Compte!$A$3:$B$346,2,0))</f>
        <v>T.V.A. récupérable sur achats a taux normal</v>
      </c>
      <c r="I169" s="1043" t="str">
        <f>IF(D169="","",VLOOKUP(D169,Compte!$A$3:$B$346,2,0))</f>
        <v/>
      </c>
    </row>
    <row r="170" spans="1:9">
      <c r="A170" s="1206"/>
      <c r="B170" s="606" t="s">
        <v>830</v>
      </c>
      <c r="C170" s="1046"/>
      <c r="D170" s="1048">
        <v>520</v>
      </c>
      <c r="E170" s="1068"/>
      <c r="F170" s="1044">
        <v>318</v>
      </c>
      <c r="G170" s="1077">
        <f t="shared" si="2"/>
        <v>318</v>
      </c>
      <c r="H170" s="1042" t="str">
        <f>IF(C170="","",VLOOKUP(C170,Compte!$A$3:$B$346,2,0))</f>
        <v/>
      </c>
      <c r="I170" s="1043" t="str">
        <f>IF(D170="","",VLOOKUP(D170,Compte!$A$3:$B$346,2,0))</f>
        <v>Banques cpte en monnaie nationale</v>
      </c>
    </row>
    <row r="171" spans="1:9">
      <c r="A171" s="1206"/>
      <c r="B171" s="606"/>
      <c r="C171" s="1046"/>
      <c r="D171" s="1048"/>
      <c r="E171" s="1068"/>
      <c r="F171" s="1044"/>
      <c r="G171" s="1077">
        <f t="shared" si="2"/>
        <v>0</v>
      </c>
      <c r="H171" s="1042" t="str">
        <f>IF(C171="","",VLOOKUP(C171,Compte!$A$3:$B$346,2,0))</f>
        <v/>
      </c>
      <c r="I171" s="1043" t="str">
        <f>IF(D171="","",VLOOKUP(D171,Compte!$A$3:$B$346,2,0))</f>
        <v/>
      </c>
    </row>
    <row r="172" spans="1:9">
      <c r="A172" s="1206"/>
      <c r="B172" s="606" t="s">
        <v>1449</v>
      </c>
      <c r="C172" s="1046">
        <v>6057</v>
      </c>
      <c r="D172" s="1048"/>
      <c r="E172" s="1068">
        <v>500</v>
      </c>
      <c r="F172" s="1044"/>
      <c r="G172" s="1077">
        <f t="shared" si="2"/>
        <v>500</v>
      </c>
      <c r="H172" s="1042" t="str">
        <f>IF(C172="","",VLOOKUP(C172,Compte!$A$3:$B$346,2,0))</f>
        <v>Achats d'études et prestations de services</v>
      </c>
      <c r="I172" s="1043" t="str">
        <f>IF(D172="","",VLOOKUP(D172,Compte!$A$3:$B$346,2,0))</f>
        <v/>
      </c>
    </row>
    <row r="173" spans="1:9">
      <c r="A173" s="1206"/>
      <c r="B173" s="606" t="s">
        <v>809</v>
      </c>
      <c r="C173" s="1046">
        <v>44522</v>
      </c>
      <c r="D173" s="1048"/>
      <c r="E173" s="1068">
        <v>200</v>
      </c>
      <c r="F173" s="1044"/>
      <c r="G173" s="1077">
        <f t="shared" si="2"/>
        <v>200</v>
      </c>
      <c r="H173" s="1042" t="str">
        <f>IF(C173="","",VLOOKUP(C173,Compte!$A$3:$B$346,2,0))</f>
        <v>T.V.A. récupérable sur achats a taux normal</v>
      </c>
      <c r="I173" s="1043" t="str">
        <f>IF(D173="","",VLOOKUP(D173,Compte!$A$3:$B$346,2,0))</f>
        <v/>
      </c>
    </row>
    <row r="174" spans="1:9">
      <c r="A174" s="1206"/>
      <c r="B174" s="606" t="s">
        <v>830</v>
      </c>
      <c r="C174" s="1046"/>
      <c r="D174" s="1048">
        <v>520</v>
      </c>
      <c r="E174" s="1068"/>
      <c r="F174" s="1044">
        <v>700</v>
      </c>
      <c r="G174" s="1077">
        <f t="shared" si="2"/>
        <v>700</v>
      </c>
      <c r="H174" s="1042" t="str">
        <f>IF(C174="","",VLOOKUP(C174,Compte!$A$3:$B$346,2,0))</f>
        <v/>
      </c>
      <c r="I174" s="1043" t="str">
        <f>IF(D174="","",VLOOKUP(D174,Compte!$A$3:$B$346,2,0))</f>
        <v>Banques cpte en monnaie nationale</v>
      </c>
    </row>
    <row r="175" spans="1:9">
      <c r="A175" s="1206"/>
      <c r="B175" s="606"/>
      <c r="C175" s="1046"/>
      <c r="D175" s="1048"/>
      <c r="E175" s="1068"/>
      <c r="F175" s="1044"/>
      <c r="G175" s="1077">
        <f t="shared" si="2"/>
        <v>0</v>
      </c>
      <c r="H175" s="1042" t="str">
        <f>IF(C175="","",VLOOKUP(C175,Compte!$A$3:$B$346,2,0))</f>
        <v/>
      </c>
      <c r="I175" s="1043" t="str">
        <f>IF(D175="","",VLOOKUP(D175,Compte!$A$3:$B$346,2,0))</f>
        <v/>
      </c>
    </row>
    <row r="176" spans="1:9">
      <c r="A176" s="1206"/>
      <c r="B176" s="606" t="s">
        <v>1450</v>
      </c>
      <c r="C176" s="1046">
        <v>6064</v>
      </c>
      <c r="D176" s="1048"/>
      <c r="E176" s="1068">
        <v>500</v>
      </c>
      <c r="F176" s="1044"/>
      <c r="G176" s="1077">
        <f t="shared" si="2"/>
        <v>500</v>
      </c>
      <c r="H176" s="1042" t="str">
        <f>IF(C176="","",VLOOKUP(C176,Compte!$A$3:$B$346,2,0))</f>
        <v>Fournitures administratives</v>
      </c>
      <c r="I176" s="1043" t="str">
        <f>IF(D176="","",VLOOKUP(D176,Compte!$A$3:$B$346,2,0))</f>
        <v/>
      </c>
    </row>
    <row r="177" spans="1:9">
      <c r="A177" s="1206"/>
      <c r="B177" s="606" t="s">
        <v>809</v>
      </c>
      <c r="C177" s="1046">
        <v>44522</v>
      </c>
      <c r="D177" s="1048"/>
      <c r="E177" s="1068">
        <v>200</v>
      </c>
      <c r="F177" s="1044"/>
      <c r="G177" s="1077">
        <f t="shared" si="2"/>
        <v>200</v>
      </c>
      <c r="H177" s="1042" t="str">
        <f>IF(C177="","",VLOOKUP(C177,Compte!$A$3:$B$346,2,0))</f>
        <v>T.V.A. récupérable sur achats a taux normal</v>
      </c>
      <c r="I177" s="1043" t="str">
        <f>IF(D177="","",VLOOKUP(D177,Compte!$A$3:$B$346,2,0))</f>
        <v/>
      </c>
    </row>
    <row r="178" spans="1:9">
      <c r="A178" s="1206"/>
      <c r="B178" s="606" t="s">
        <v>830</v>
      </c>
      <c r="C178" s="1046"/>
      <c r="D178" s="1048">
        <v>520</v>
      </c>
      <c r="E178" s="1068"/>
      <c r="F178" s="1044">
        <v>700</v>
      </c>
      <c r="G178" s="1077">
        <f t="shared" si="2"/>
        <v>700</v>
      </c>
      <c r="H178" s="1042" t="str">
        <f>IF(C178="","",VLOOKUP(C178,Compte!$A$3:$B$346,2,0))</f>
        <v/>
      </c>
      <c r="I178" s="1043" t="str">
        <f>IF(D178="","",VLOOKUP(D178,Compte!$A$3:$B$346,2,0))</f>
        <v>Banques cpte en monnaie nationale</v>
      </c>
    </row>
    <row r="179" spans="1:9">
      <c r="A179" s="1206"/>
      <c r="B179" s="606"/>
      <c r="C179" s="1046"/>
      <c r="D179" s="1048"/>
      <c r="E179" s="1068"/>
      <c r="F179" s="1044"/>
      <c r="G179" s="1077">
        <f t="shared" si="2"/>
        <v>0</v>
      </c>
      <c r="H179" s="1042" t="str">
        <f>IF(C179="","",VLOOKUP(C179,Compte!$A$3:$B$346,2,0))</f>
        <v/>
      </c>
      <c r="I179" s="1043" t="str">
        <f>IF(D179="","",VLOOKUP(D179,Compte!$A$3:$B$346,2,0))</f>
        <v/>
      </c>
    </row>
    <row r="180" spans="1:9">
      <c r="A180" s="1206"/>
      <c r="B180" s="606" t="s">
        <v>593</v>
      </c>
      <c r="C180" s="1046">
        <v>611</v>
      </c>
      <c r="D180" s="1048"/>
      <c r="E180" s="1068">
        <v>500</v>
      </c>
      <c r="F180" s="1044"/>
      <c r="G180" s="1077">
        <f t="shared" si="2"/>
        <v>500</v>
      </c>
      <c r="H180" s="1042" t="str">
        <f>IF(C180="","",VLOOKUP(C180,Compte!$A$3:$B$346,2,0))</f>
        <v>Frais de transport sur achat</v>
      </c>
      <c r="I180" s="1043" t="str">
        <f>IF(D180="","",VLOOKUP(D180,Compte!$A$3:$B$346,2,0))</f>
        <v/>
      </c>
    </row>
    <row r="181" spans="1:9">
      <c r="A181" s="1206"/>
      <c r="B181" s="606" t="s">
        <v>809</v>
      </c>
      <c r="C181" s="1046">
        <v>44522</v>
      </c>
      <c r="D181" s="1048"/>
      <c r="E181" s="1068">
        <v>200</v>
      </c>
      <c r="F181" s="1044"/>
      <c r="G181" s="1077">
        <f t="shared" si="2"/>
        <v>200</v>
      </c>
      <c r="H181" s="1042" t="str">
        <f>IF(C181="","",VLOOKUP(C181,Compte!$A$3:$B$346,2,0))</f>
        <v>T.V.A. récupérable sur achats a taux normal</v>
      </c>
      <c r="I181" s="1043" t="str">
        <f>IF(D181="","",VLOOKUP(D181,Compte!$A$3:$B$346,2,0))</f>
        <v/>
      </c>
    </row>
    <row r="182" spans="1:9">
      <c r="A182" s="1206"/>
      <c r="B182" s="606" t="s">
        <v>830</v>
      </c>
      <c r="C182" s="1046"/>
      <c r="D182" s="1048">
        <v>520</v>
      </c>
      <c r="E182" s="1068"/>
      <c r="F182" s="1044">
        <v>700</v>
      </c>
      <c r="G182" s="1077">
        <f t="shared" si="2"/>
        <v>700</v>
      </c>
      <c r="H182" s="1042" t="str">
        <f>IF(C182="","",VLOOKUP(C182,Compte!$A$3:$B$346,2,0))</f>
        <v/>
      </c>
      <c r="I182" s="1043" t="str">
        <f>IF(D182="","",VLOOKUP(D182,Compte!$A$3:$B$346,2,0))</f>
        <v>Banques cpte en monnaie nationale</v>
      </c>
    </row>
    <row r="183" spans="1:9">
      <c r="A183" s="1206"/>
      <c r="B183" s="606"/>
      <c r="C183" s="1046"/>
      <c r="D183" s="1048"/>
      <c r="E183" s="1068"/>
      <c r="F183" s="1044"/>
      <c r="G183" s="1077">
        <f t="shared" si="2"/>
        <v>0</v>
      </c>
      <c r="H183" s="1042" t="str">
        <f>IF(C183="","",VLOOKUP(C183,Compte!$A$3:$B$346,2,0))</f>
        <v/>
      </c>
      <c r="I183" s="1043" t="str">
        <f>IF(D183="","",VLOOKUP(D183,Compte!$A$3:$B$346,2,0))</f>
        <v/>
      </c>
    </row>
    <row r="184" spans="1:9">
      <c r="A184" s="1206"/>
      <c r="B184" s="606" t="s">
        <v>371</v>
      </c>
      <c r="C184" s="1046">
        <v>621</v>
      </c>
      <c r="D184" s="1048"/>
      <c r="E184" s="1068">
        <v>500</v>
      </c>
      <c r="F184" s="1044"/>
      <c r="G184" s="1077">
        <f t="shared" si="2"/>
        <v>500</v>
      </c>
      <c r="H184" s="1042" t="str">
        <f>IF(C184="","",VLOOKUP(C184,Compte!$A$3:$B$346,2,0))</f>
        <v>Charges de sous traitance</v>
      </c>
      <c r="I184" s="1043" t="str">
        <f>IF(D184="","",VLOOKUP(D184,Compte!$A$3:$B$346,2,0))</f>
        <v/>
      </c>
    </row>
    <row r="185" spans="1:9">
      <c r="A185" s="1206"/>
      <c r="B185" s="606" t="s">
        <v>809</v>
      </c>
      <c r="C185" s="1046">
        <v>44522</v>
      </c>
      <c r="D185" s="1048"/>
      <c r="E185" s="1068">
        <v>200</v>
      </c>
      <c r="F185" s="1044"/>
      <c r="G185" s="1077">
        <f t="shared" si="2"/>
        <v>200</v>
      </c>
      <c r="H185" s="1042" t="str">
        <f>IF(C185="","",VLOOKUP(C185,Compte!$A$3:$B$346,2,0))</f>
        <v>T.V.A. récupérable sur achats a taux normal</v>
      </c>
      <c r="I185" s="1043" t="str">
        <f>IF(D185="","",VLOOKUP(D185,Compte!$A$3:$B$346,2,0))</f>
        <v/>
      </c>
    </row>
    <row r="186" spans="1:9">
      <c r="A186" s="1206"/>
      <c r="B186" s="606" t="s">
        <v>830</v>
      </c>
      <c r="C186" s="1046"/>
      <c r="D186" s="1048">
        <v>520</v>
      </c>
      <c r="E186" s="1068"/>
      <c r="F186" s="1044">
        <v>700</v>
      </c>
      <c r="G186" s="1077">
        <f t="shared" si="2"/>
        <v>700</v>
      </c>
      <c r="H186" s="1042" t="str">
        <f>IF(C186="","",VLOOKUP(C186,Compte!$A$3:$B$346,2,0))</f>
        <v/>
      </c>
      <c r="I186" s="1043" t="str">
        <f>IF(D186="","",VLOOKUP(D186,Compte!$A$3:$B$346,2,0))</f>
        <v>Banques cpte en monnaie nationale</v>
      </c>
    </row>
    <row r="187" spans="1:9">
      <c r="A187" s="1206"/>
      <c r="B187" s="606"/>
      <c r="C187" s="1046"/>
      <c r="D187" s="1048"/>
      <c r="E187" s="1068"/>
      <c r="F187" s="1044"/>
      <c r="G187" s="1077">
        <f t="shared" si="2"/>
        <v>0</v>
      </c>
      <c r="H187" s="1042" t="str">
        <f>IF(C187="","",VLOOKUP(C187,Compte!$A$3:$B$346,2,0))</f>
        <v/>
      </c>
      <c r="I187" s="1043" t="str">
        <f>IF(D187="","",VLOOKUP(D187,Compte!$A$3:$B$346,2,0))</f>
        <v/>
      </c>
    </row>
    <row r="188" spans="1:9">
      <c r="A188" s="1206"/>
      <c r="B188" s="606" t="s">
        <v>1451</v>
      </c>
      <c r="C188" s="1046">
        <v>622</v>
      </c>
      <c r="D188" s="1048"/>
      <c r="E188" s="1068">
        <v>500</v>
      </c>
      <c r="F188" s="1044"/>
      <c r="G188" s="1077">
        <f t="shared" si="2"/>
        <v>500</v>
      </c>
      <c r="H188" s="1042" t="str">
        <f>IF(C188="","",VLOOKUP(C188,Compte!$A$3:$B$346,2,0))</f>
        <v>Location et charges locatives</v>
      </c>
      <c r="I188" s="1043" t="str">
        <f>IF(D188="","",VLOOKUP(D188,Compte!$A$3:$B$346,2,0))</f>
        <v/>
      </c>
    </row>
    <row r="189" spans="1:9">
      <c r="A189" s="1206"/>
      <c r="B189" s="606" t="s">
        <v>830</v>
      </c>
      <c r="C189" s="1046"/>
      <c r="D189" s="1048">
        <v>520</v>
      </c>
      <c r="E189" s="1068"/>
      <c r="F189" s="1044">
        <v>500</v>
      </c>
      <c r="G189" s="1077">
        <f t="shared" si="2"/>
        <v>500</v>
      </c>
      <c r="H189" s="1042" t="str">
        <f>IF(C189="","",VLOOKUP(C189,Compte!$A$3:$B$346,2,0))</f>
        <v/>
      </c>
      <c r="I189" s="1043" t="str">
        <f>IF(D189="","",VLOOKUP(D189,Compte!$A$3:$B$346,2,0))</f>
        <v>Banques cpte en monnaie nationale</v>
      </c>
    </row>
    <row r="190" spans="1:9">
      <c r="A190" s="1206"/>
      <c r="B190" s="606"/>
      <c r="C190" s="1046"/>
      <c r="D190" s="1048"/>
      <c r="E190" s="1068"/>
      <c r="F190" s="1044"/>
      <c r="G190" s="1077">
        <f t="shared" si="2"/>
        <v>0</v>
      </c>
      <c r="H190" s="1042" t="str">
        <f>IF(C190="","",VLOOKUP(C190,Compte!$A$3:$B$346,2,0))</f>
        <v/>
      </c>
      <c r="I190" s="1043" t="str">
        <f>IF(D190="","",VLOOKUP(D190,Compte!$A$3:$B$346,2,0))</f>
        <v/>
      </c>
    </row>
    <row r="191" spans="1:9">
      <c r="A191" s="1206"/>
      <c r="B191" s="606" t="s">
        <v>1452</v>
      </c>
      <c r="C191" s="1046">
        <v>6221</v>
      </c>
      <c r="D191" s="1048"/>
      <c r="E191" s="1068">
        <v>10000</v>
      </c>
      <c r="F191" s="1044"/>
      <c r="G191" s="1077">
        <f t="shared" si="2"/>
        <v>10000</v>
      </c>
      <c r="H191" s="1042" t="str">
        <f>IF(C191="","",VLOOKUP(C191,Compte!$A$3:$B$346,2,0))</f>
        <v>Locations de terrains</v>
      </c>
      <c r="I191" s="1043" t="str">
        <f>IF(D191="","",VLOOKUP(D191,Compte!$A$3:$B$346,2,0))</f>
        <v/>
      </c>
    </row>
    <row r="192" spans="1:9">
      <c r="A192" s="1206"/>
      <c r="B192" s="606" t="s">
        <v>830</v>
      </c>
      <c r="C192" s="1046"/>
      <c r="D192" s="1048">
        <v>520</v>
      </c>
      <c r="E192" s="1068"/>
      <c r="F192" s="1044">
        <v>10000</v>
      </c>
      <c r="G192" s="1077">
        <f t="shared" si="2"/>
        <v>10000</v>
      </c>
      <c r="H192" s="1042" t="str">
        <f>IF(C192="","",VLOOKUP(C192,Compte!$A$3:$B$346,2,0))</f>
        <v/>
      </c>
      <c r="I192" s="1043" t="str">
        <f>IF(D192="","",VLOOKUP(D192,Compte!$A$3:$B$346,2,0))</f>
        <v>Banques cpte en monnaie nationale</v>
      </c>
    </row>
    <row r="193" spans="1:9">
      <c r="A193" s="1206"/>
      <c r="B193" s="606"/>
      <c r="C193" s="1046"/>
      <c r="D193" s="1048"/>
      <c r="E193" s="1068"/>
      <c r="F193" s="1044"/>
      <c r="G193" s="1077">
        <f t="shared" si="2"/>
        <v>0</v>
      </c>
      <c r="H193" s="1042" t="str">
        <f>IF(C193="","",VLOOKUP(C193,Compte!$A$3:$B$346,2,0))</f>
        <v/>
      </c>
      <c r="I193" s="1043" t="str">
        <f>IF(D193="","",VLOOKUP(D193,Compte!$A$3:$B$346,2,0))</f>
        <v/>
      </c>
    </row>
    <row r="194" spans="1:9">
      <c r="A194" s="1206"/>
      <c r="B194" s="606" t="s">
        <v>1453</v>
      </c>
      <c r="C194" s="1046">
        <v>6223</v>
      </c>
      <c r="D194" s="1048"/>
      <c r="E194" s="1068">
        <v>500</v>
      </c>
      <c r="F194" s="1044"/>
      <c r="G194" s="1077">
        <f t="shared" si="2"/>
        <v>500</v>
      </c>
      <c r="H194" s="1042" t="str">
        <f>IF(C194="","",VLOOKUP(C194,Compte!$A$3:$B$346,2,0))</f>
        <v>Locations de matériels et outillages</v>
      </c>
      <c r="I194" s="1043" t="str">
        <f>IF(D194="","",VLOOKUP(D194,Compte!$A$3:$B$346,2,0))</f>
        <v/>
      </c>
    </row>
    <row r="195" spans="1:9">
      <c r="A195" s="1206"/>
      <c r="B195" s="606" t="s">
        <v>809</v>
      </c>
      <c r="C195" s="1046">
        <v>44522</v>
      </c>
      <c r="D195" s="1048"/>
      <c r="E195" s="1068">
        <v>200</v>
      </c>
      <c r="F195" s="1044"/>
      <c r="G195" s="1077">
        <f t="shared" si="2"/>
        <v>200</v>
      </c>
      <c r="H195" s="1042" t="str">
        <f>IF(C195="","",VLOOKUP(C195,Compte!$A$3:$B$346,2,0))</f>
        <v>T.V.A. récupérable sur achats a taux normal</v>
      </c>
      <c r="I195" s="1043" t="str">
        <f>IF(D195="","",VLOOKUP(D195,Compte!$A$3:$B$346,2,0))</f>
        <v/>
      </c>
    </row>
    <row r="196" spans="1:9">
      <c r="A196" s="1206"/>
      <c r="B196" s="606" t="s">
        <v>830</v>
      </c>
      <c r="C196" s="1046"/>
      <c r="D196" s="1048">
        <v>520</v>
      </c>
      <c r="E196" s="1068"/>
      <c r="F196" s="1044">
        <v>700</v>
      </c>
      <c r="G196" s="1077">
        <f t="shared" si="2"/>
        <v>700</v>
      </c>
      <c r="H196" s="1042" t="str">
        <f>IF(C196="","",VLOOKUP(C196,Compte!$A$3:$B$346,2,0))</f>
        <v/>
      </c>
      <c r="I196" s="1043" t="str">
        <f>IF(D196="","",VLOOKUP(D196,Compte!$A$3:$B$346,2,0))</f>
        <v>Banques cpte en monnaie nationale</v>
      </c>
    </row>
    <row r="197" spans="1:9">
      <c r="A197" s="1206"/>
      <c r="B197" s="606"/>
      <c r="C197" s="1046"/>
      <c r="D197" s="1048"/>
      <c r="E197" s="1068"/>
      <c r="F197" s="1044"/>
      <c r="G197" s="1077">
        <f t="shared" si="2"/>
        <v>0</v>
      </c>
      <c r="H197" s="1042" t="str">
        <f>IF(C197="","",VLOOKUP(C197,Compte!$A$3:$B$346,2,0))</f>
        <v/>
      </c>
      <c r="I197" s="1043" t="str">
        <f>IF(D197="","",VLOOKUP(D197,Compte!$A$3:$B$346,2,0))</f>
        <v/>
      </c>
    </row>
    <row r="198" spans="1:9">
      <c r="A198" s="1206"/>
      <c r="B198" s="606" t="s">
        <v>1454</v>
      </c>
      <c r="C198" s="1046">
        <v>6232</v>
      </c>
      <c r="D198" s="1048"/>
      <c r="E198" s="1068">
        <v>500</v>
      </c>
      <c r="F198" s="1044"/>
      <c r="G198" s="1077">
        <f t="shared" si="2"/>
        <v>500</v>
      </c>
      <c r="H198" s="1042" t="str">
        <f>IF(C198="","",VLOOKUP(C198,Compte!$A$3:$B$346,2,0))</f>
        <v>Crédit-bail immobilier &amp; mobilier</v>
      </c>
      <c r="I198" s="1043" t="str">
        <f>IF(D198="","",VLOOKUP(D198,Compte!$A$3:$B$346,2,0))</f>
        <v/>
      </c>
    </row>
    <row r="199" spans="1:9">
      <c r="A199" s="1206"/>
      <c r="B199" s="606" t="s">
        <v>809</v>
      </c>
      <c r="C199" s="1046">
        <v>44522</v>
      </c>
      <c r="D199" s="1048"/>
      <c r="E199" s="1068">
        <v>200</v>
      </c>
      <c r="F199" s="1044"/>
      <c r="G199" s="1077">
        <f t="shared" si="2"/>
        <v>200</v>
      </c>
      <c r="H199" s="1042" t="str">
        <f>IF(C199="","",VLOOKUP(C199,Compte!$A$3:$B$346,2,0))</f>
        <v>T.V.A. récupérable sur achats a taux normal</v>
      </c>
      <c r="I199" s="1043" t="str">
        <f>IF(D199="","",VLOOKUP(D199,Compte!$A$3:$B$346,2,0))</f>
        <v/>
      </c>
    </row>
    <row r="200" spans="1:9">
      <c r="A200" s="1206"/>
      <c r="B200" s="606" t="s">
        <v>830</v>
      </c>
      <c r="C200" s="1046"/>
      <c r="D200" s="1048">
        <v>520</v>
      </c>
      <c r="E200" s="1068"/>
      <c r="F200" s="1044">
        <v>700</v>
      </c>
      <c r="G200" s="1077">
        <f t="shared" ref="G200:G263" si="3">IF(C200="",F200,E200)</f>
        <v>700</v>
      </c>
      <c r="H200" s="1042" t="str">
        <f>IF(C200="","",VLOOKUP(C200,Compte!$A$3:$B$346,2,0))</f>
        <v/>
      </c>
      <c r="I200" s="1043" t="str">
        <f>IF(D200="","",VLOOKUP(D200,Compte!$A$3:$B$346,2,0))</f>
        <v>Banques cpte en monnaie nationale</v>
      </c>
    </row>
    <row r="201" spans="1:9">
      <c r="A201" s="1206"/>
      <c r="B201" s="606"/>
      <c r="C201" s="1046"/>
      <c r="D201" s="1048"/>
      <c r="E201" s="1068"/>
      <c r="F201" s="1044"/>
      <c r="G201" s="1077">
        <f t="shared" si="3"/>
        <v>0</v>
      </c>
      <c r="H201" s="1042" t="str">
        <f>IF(C201="","",VLOOKUP(C201,Compte!$A$3:$B$346,2,0))</f>
        <v/>
      </c>
      <c r="I201" s="1043" t="str">
        <f>IF(D201="","",VLOOKUP(D201,Compte!$A$3:$B$346,2,0))</f>
        <v/>
      </c>
    </row>
    <row r="202" spans="1:9">
      <c r="A202" s="1206"/>
      <c r="B202" s="606" t="s">
        <v>1455</v>
      </c>
      <c r="C202" s="1046">
        <v>6243</v>
      </c>
      <c r="D202" s="1048"/>
      <c r="E202" s="1068">
        <v>500</v>
      </c>
      <c r="F202" s="1044"/>
      <c r="G202" s="1077">
        <f t="shared" si="3"/>
        <v>500</v>
      </c>
      <c r="H202" s="1042" t="str">
        <f>IF(C202="","",VLOOKUP(C202,Compte!$A$3:$B$346,2,0))</f>
        <v>Maintenance  des appareils et outillages et autres entretiens</v>
      </c>
      <c r="I202" s="1043" t="str">
        <f>IF(D202="","",VLOOKUP(D202,Compte!$A$3:$B$346,2,0))</f>
        <v/>
      </c>
    </row>
    <row r="203" spans="1:9">
      <c r="A203" s="1206"/>
      <c r="B203" s="606" t="s">
        <v>809</v>
      </c>
      <c r="C203" s="1046">
        <v>44522</v>
      </c>
      <c r="D203" s="1048"/>
      <c r="E203" s="1068">
        <v>200</v>
      </c>
      <c r="F203" s="1044"/>
      <c r="G203" s="1077">
        <f t="shared" si="3"/>
        <v>200</v>
      </c>
      <c r="H203" s="1042" t="str">
        <f>IF(C203="","",VLOOKUP(C203,Compte!$A$3:$B$346,2,0))</f>
        <v>T.V.A. récupérable sur achats a taux normal</v>
      </c>
      <c r="I203" s="1043" t="str">
        <f>IF(D203="","",VLOOKUP(D203,Compte!$A$3:$B$346,2,0))</f>
        <v/>
      </c>
    </row>
    <row r="204" spans="1:9">
      <c r="A204" s="1206"/>
      <c r="B204" s="606" t="s">
        <v>830</v>
      </c>
      <c r="C204" s="1046"/>
      <c r="D204" s="1048">
        <v>520</v>
      </c>
      <c r="E204" s="1068"/>
      <c r="F204" s="1044">
        <v>700</v>
      </c>
      <c r="G204" s="1077">
        <f t="shared" si="3"/>
        <v>700</v>
      </c>
      <c r="H204" s="1042" t="str">
        <f>IF(C204="","",VLOOKUP(C204,Compte!$A$3:$B$346,2,0))</f>
        <v/>
      </c>
      <c r="I204" s="1043" t="str">
        <f>IF(D204="","",VLOOKUP(D204,Compte!$A$3:$B$346,2,0))</f>
        <v>Banques cpte en monnaie nationale</v>
      </c>
    </row>
    <row r="205" spans="1:9">
      <c r="A205" s="1206"/>
      <c r="B205" s="606"/>
      <c r="C205" s="1046"/>
      <c r="D205" s="1048"/>
      <c r="E205" s="1583"/>
      <c r="F205" s="1583"/>
      <c r="G205" s="1077">
        <f t="shared" si="3"/>
        <v>0</v>
      </c>
      <c r="H205" s="1042" t="str">
        <f>IF(C205="","",VLOOKUP(C205,Compte!$A$3:$B$346,2,0))</f>
        <v/>
      </c>
      <c r="I205" s="1043" t="str">
        <f>IF(D205="","",VLOOKUP(D205,Compte!$A$3:$B$346,2,0))</f>
        <v/>
      </c>
    </row>
    <row r="206" spans="1:9">
      <c r="A206" s="1206"/>
      <c r="B206" s="606" t="s">
        <v>378</v>
      </c>
      <c r="C206" s="1046">
        <v>6251</v>
      </c>
      <c r="D206" s="1048">
        <v>520</v>
      </c>
      <c r="E206" s="1068">
        <v>220</v>
      </c>
      <c r="F206" s="1044">
        <v>220</v>
      </c>
      <c r="G206" s="1077">
        <f t="shared" si="3"/>
        <v>220</v>
      </c>
      <c r="H206" s="1042" t="str">
        <f>IF(C206="","",VLOOKUP(C206,Compte!$A$3:$B$346,2,0))</f>
        <v>Assurances multirisques</v>
      </c>
      <c r="I206" s="1043" t="str">
        <f>IF(D206="","",VLOOKUP(D206,Compte!$A$3:$B$346,2,0))</f>
        <v>Banques cpte en monnaie nationale</v>
      </c>
    </row>
    <row r="207" spans="1:9">
      <c r="A207" s="1206"/>
      <c r="B207" s="606" t="s">
        <v>1456</v>
      </c>
      <c r="C207" s="1046">
        <v>6252</v>
      </c>
      <c r="D207" s="1048">
        <v>520</v>
      </c>
      <c r="E207" s="1068">
        <v>230</v>
      </c>
      <c r="F207" s="1044">
        <v>230</v>
      </c>
      <c r="G207" s="1077">
        <f t="shared" si="3"/>
        <v>230</v>
      </c>
      <c r="H207" s="1042" t="str">
        <f>IF(C207="","",VLOOKUP(C207,Compte!$A$3:$B$346,2,0))</f>
        <v>Assurances matériel de transport</v>
      </c>
      <c r="I207" s="1043" t="str">
        <f>IF(D207="","",VLOOKUP(D207,Compte!$A$3:$B$346,2,0))</f>
        <v>Banques cpte en monnaie nationale</v>
      </c>
    </row>
    <row r="208" spans="1:9">
      <c r="A208" s="1206"/>
      <c r="B208" s="606" t="s">
        <v>380</v>
      </c>
      <c r="C208" s="1046">
        <v>6253</v>
      </c>
      <c r="D208" s="1048">
        <v>520</v>
      </c>
      <c r="E208" s="1068">
        <v>240</v>
      </c>
      <c r="F208" s="1044">
        <v>240</v>
      </c>
      <c r="G208" s="1077">
        <f t="shared" si="3"/>
        <v>240</v>
      </c>
      <c r="H208" s="1042" t="str">
        <f>IF(C208="","",VLOOKUP(C208,Compte!$A$3:$B$346,2,0))</f>
        <v>Assurances risques d'exploitation</v>
      </c>
      <c r="I208" s="1043" t="str">
        <f>IF(D208="","",VLOOKUP(D208,Compte!$A$3:$B$346,2,0))</f>
        <v>Banques cpte en monnaie nationale</v>
      </c>
    </row>
    <row r="209" spans="1:9">
      <c r="A209" s="1206"/>
      <c r="B209" s="606" t="s">
        <v>1457</v>
      </c>
      <c r="C209" s="1046">
        <v>6254</v>
      </c>
      <c r="D209" s="1048">
        <v>520</v>
      </c>
      <c r="E209" s="1068">
        <v>250</v>
      </c>
      <c r="F209" s="1044">
        <v>250</v>
      </c>
      <c r="G209" s="1077">
        <f t="shared" si="3"/>
        <v>250</v>
      </c>
      <c r="H209" s="1042" t="str">
        <f>IF(C209="","",VLOOKUP(C209,Compte!$A$3:$B$346,2,0))</f>
        <v>Assurances responsabilité du producteur</v>
      </c>
      <c r="I209" s="1043" t="str">
        <f>IF(D209="","",VLOOKUP(D209,Compte!$A$3:$B$346,2,0))</f>
        <v>Banques cpte en monnaie nationale</v>
      </c>
    </row>
    <row r="210" spans="1:9">
      <c r="A210" s="1206"/>
      <c r="B210" s="606" t="s">
        <v>1458</v>
      </c>
      <c r="C210" s="1046">
        <v>6255</v>
      </c>
      <c r="D210" s="1048">
        <v>520</v>
      </c>
      <c r="E210" s="1068">
        <v>260</v>
      </c>
      <c r="F210" s="1044">
        <v>260</v>
      </c>
      <c r="G210" s="1077">
        <f t="shared" si="3"/>
        <v>260</v>
      </c>
      <c r="H210" s="1042" t="str">
        <f>IF(C210="","",VLOOKUP(C210,Compte!$A$3:$B$346,2,0))</f>
        <v>Assurances insolvabilité clients</v>
      </c>
      <c r="I210" s="1043" t="str">
        <f>IF(D210="","",VLOOKUP(D210,Compte!$A$3:$B$346,2,0))</f>
        <v>Banques cpte en monnaie nationale</v>
      </c>
    </row>
    <row r="211" spans="1:9">
      <c r="A211" s="1206"/>
      <c r="B211" s="606" t="s">
        <v>383</v>
      </c>
      <c r="C211" s="1046">
        <v>6256</v>
      </c>
      <c r="D211" s="1048">
        <v>520</v>
      </c>
      <c r="E211" s="1068">
        <v>270</v>
      </c>
      <c r="F211" s="1044">
        <v>270</v>
      </c>
      <c r="G211" s="1077">
        <f t="shared" si="3"/>
        <v>270</v>
      </c>
      <c r="H211" s="1042" t="str">
        <f>IF(C211="","",VLOOKUP(C211,Compte!$A$3:$B$346,2,0))</f>
        <v>Assurances transport sur achats</v>
      </c>
      <c r="I211" s="1043" t="str">
        <f>IF(D211="","",VLOOKUP(D211,Compte!$A$3:$B$346,2,0))</f>
        <v>Banques cpte en monnaie nationale</v>
      </c>
    </row>
    <row r="212" spans="1:9">
      <c r="A212" s="1206"/>
      <c r="B212" s="606" t="s">
        <v>1459</v>
      </c>
      <c r="C212" s="1046">
        <v>6257</v>
      </c>
      <c r="D212" s="1048">
        <v>520</v>
      </c>
      <c r="E212" s="1068">
        <v>280</v>
      </c>
      <c r="F212" s="1044">
        <v>280</v>
      </c>
      <c r="G212" s="1077">
        <f t="shared" si="3"/>
        <v>280</v>
      </c>
      <c r="H212" s="1042" t="str">
        <f>IF(C212="","",VLOOKUP(C212,Compte!$A$3:$B$346,2,0))</f>
        <v>Assurances transport sur ventes</v>
      </c>
      <c r="I212" s="1043" t="str">
        <f>IF(D212="","",VLOOKUP(D212,Compte!$A$3:$B$346,2,0))</f>
        <v>Banques cpte en monnaie nationale</v>
      </c>
    </row>
    <row r="213" spans="1:9">
      <c r="A213" s="1206"/>
      <c r="B213" s="606" t="s">
        <v>385</v>
      </c>
      <c r="C213" s="1046">
        <v>6258</v>
      </c>
      <c r="D213" s="1048">
        <v>520</v>
      </c>
      <c r="E213" s="1068">
        <v>290</v>
      </c>
      <c r="F213" s="1044">
        <v>290</v>
      </c>
      <c r="G213" s="1077">
        <f t="shared" si="3"/>
        <v>290</v>
      </c>
      <c r="H213" s="1042" t="str">
        <f>IF(C213="","",VLOOKUP(C213,Compte!$A$3:$B$346,2,0))</f>
        <v>Autres primes d'assurances</v>
      </c>
      <c r="I213" s="1043" t="str">
        <f>IF(D213="","",VLOOKUP(D213,Compte!$A$3:$B$346,2,0))</f>
        <v>Banques cpte en monnaie nationale</v>
      </c>
    </row>
    <row r="214" spans="1:9">
      <c r="A214" s="1206"/>
      <c r="B214" s="606"/>
      <c r="C214" s="1046"/>
      <c r="D214" s="1048"/>
      <c r="E214" s="1068"/>
      <c r="F214" s="1044"/>
      <c r="G214" s="1077">
        <f t="shared" si="3"/>
        <v>0</v>
      </c>
      <c r="H214" s="1042" t="str">
        <f>IF(C214="","",VLOOKUP(C214,Compte!$A$3:$B$346,2,0))</f>
        <v/>
      </c>
      <c r="I214" s="1043" t="str">
        <f>IF(D214="","",VLOOKUP(D214,Compte!$A$3:$B$346,2,0))</f>
        <v/>
      </c>
    </row>
    <row r="215" spans="1:9">
      <c r="A215" s="1206"/>
      <c r="B215" s="606" t="s">
        <v>1460</v>
      </c>
      <c r="C215" s="1046">
        <v>6271</v>
      </c>
      <c r="D215" s="1048"/>
      <c r="E215" s="1068">
        <v>800</v>
      </c>
      <c r="F215" s="1044"/>
      <c r="G215" s="1077">
        <f t="shared" si="3"/>
        <v>800</v>
      </c>
      <c r="H215" s="1042" t="str">
        <f>IF(C215="","",VLOOKUP(C215,Compte!$A$3:$B$346,2,0))</f>
        <v>Annonces, insertions</v>
      </c>
      <c r="I215" s="1043" t="str">
        <f>IF(D215="","",VLOOKUP(D215,Compte!$A$3:$B$346,2,0))</f>
        <v/>
      </c>
    </row>
    <row r="216" spans="1:9">
      <c r="A216" s="1206"/>
      <c r="B216" s="606" t="s">
        <v>809</v>
      </c>
      <c r="C216" s="1046">
        <v>44522</v>
      </c>
      <c r="D216" s="1048"/>
      <c r="E216" s="1068">
        <v>100</v>
      </c>
      <c r="F216" s="1044"/>
      <c r="G216" s="1077">
        <f t="shared" si="3"/>
        <v>100</v>
      </c>
      <c r="H216" s="1042" t="str">
        <f>IF(C216="","",VLOOKUP(C216,Compte!$A$3:$B$346,2,0))</f>
        <v>T.V.A. récupérable sur achats a taux normal</v>
      </c>
      <c r="I216" s="1043" t="str">
        <f>IF(D216="","",VLOOKUP(D216,Compte!$A$3:$B$346,2,0))</f>
        <v/>
      </c>
    </row>
    <row r="217" spans="1:9">
      <c r="A217" s="1206"/>
      <c r="B217" s="606" t="s">
        <v>830</v>
      </c>
      <c r="C217" s="1046"/>
      <c r="D217" s="1048">
        <v>520</v>
      </c>
      <c r="E217" s="1068"/>
      <c r="F217" s="1044">
        <v>900</v>
      </c>
      <c r="G217" s="1077">
        <f t="shared" si="3"/>
        <v>900</v>
      </c>
      <c r="H217" s="1042" t="str">
        <f>IF(C217="","",VLOOKUP(C217,Compte!$A$3:$B$346,2,0))</f>
        <v/>
      </c>
      <c r="I217" s="1043" t="str">
        <f>IF(D217="","",VLOOKUP(D217,Compte!$A$3:$B$346,2,0))</f>
        <v>Banques cpte en monnaie nationale</v>
      </c>
    </row>
    <row r="218" spans="1:9">
      <c r="A218" s="1206"/>
      <c r="B218" s="606"/>
      <c r="C218" s="1046"/>
      <c r="D218" s="1048"/>
      <c r="E218" s="1068"/>
      <c r="F218" s="1044"/>
      <c r="G218" s="1077">
        <f t="shared" si="3"/>
        <v>0</v>
      </c>
      <c r="H218" s="1042" t="str">
        <f>IF(C218="","",VLOOKUP(C218,Compte!$A$3:$B$346,2,0))</f>
        <v/>
      </c>
      <c r="I218" s="1043" t="str">
        <f>IF(D218="","",VLOOKUP(D218,Compte!$A$3:$B$346,2,0))</f>
        <v/>
      </c>
    </row>
    <row r="219" spans="1:9">
      <c r="A219" s="1206"/>
      <c r="B219" s="606" t="s">
        <v>1461</v>
      </c>
      <c r="C219" s="1046">
        <v>6272</v>
      </c>
      <c r="D219" s="1048"/>
      <c r="E219" s="1068">
        <v>800</v>
      </c>
      <c r="F219" s="1044"/>
      <c r="G219" s="1077">
        <f t="shared" si="3"/>
        <v>800</v>
      </c>
      <c r="H219" s="1042" t="str">
        <f>IF(C219="","",VLOOKUP(C219,Compte!$A$3:$B$346,2,0))</f>
        <v>Catalogues, imprimés publicitaires</v>
      </c>
      <c r="I219" s="1043" t="str">
        <f>IF(D219="","",VLOOKUP(D219,Compte!$A$3:$B$346,2,0))</f>
        <v/>
      </c>
    </row>
    <row r="220" spans="1:9">
      <c r="A220" s="1206"/>
      <c r="B220" s="606" t="s">
        <v>809</v>
      </c>
      <c r="C220" s="1046">
        <v>44522</v>
      </c>
      <c r="D220" s="1048"/>
      <c r="E220" s="1068">
        <v>100</v>
      </c>
      <c r="F220" s="1044"/>
      <c r="G220" s="1077">
        <f t="shared" si="3"/>
        <v>100</v>
      </c>
      <c r="H220" s="1042" t="str">
        <f>IF(C220="","",VLOOKUP(C220,Compte!$A$3:$B$346,2,0))</f>
        <v>T.V.A. récupérable sur achats a taux normal</v>
      </c>
      <c r="I220" s="1043" t="str">
        <f>IF(D220="","",VLOOKUP(D220,Compte!$A$3:$B$346,2,0))</f>
        <v/>
      </c>
    </row>
    <row r="221" spans="1:9">
      <c r="A221" s="1206"/>
      <c r="B221" s="606" t="s">
        <v>830</v>
      </c>
      <c r="C221" s="1046"/>
      <c r="D221" s="1048">
        <v>520</v>
      </c>
      <c r="E221" s="1068"/>
      <c r="F221" s="1044">
        <v>900</v>
      </c>
      <c r="G221" s="1077">
        <f t="shared" si="3"/>
        <v>900</v>
      </c>
      <c r="H221" s="1042" t="str">
        <f>IF(C221="","",VLOOKUP(C221,Compte!$A$3:$B$346,2,0))</f>
        <v/>
      </c>
      <c r="I221" s="1043" t="str">
        <f>IF(D221="","",VLOOKUP(D221,Compte!$A$3:$B$346,2,0))</f>
        <v>Banques cpte en monnaie nationale</v>
      </c>
    </row>
    <row r="222" spans="1:9">
      <c r="A222" s="1206"/>
      <c r="B222" s="606"/>
      <c r="C222" s="1046"/>
      <c r="D222" s="1048"/>
      <c r="E222" s="1068"/>
      <c r="F222" s="1044"/>
      <c r="G222" s="1077">
        <f t="shared" si="3"/>
        <v>0</v>
      </c>
      <c r="H222" s="1042" t="str">
        <f>IF(C222="","",VLOOKUP(C222,Compte!$A$3:$B$346,2,0))</f>
        <v/>
      </c>
      <c r="I222" s="1043" t="str">
        <f>IF(D222="","",VLOOKUP(D222,Compte!$A$3:$B$346,2,0))</f>
        <v/>
      </c>
    </row>
    <row r="223" spans="1:9">
      <c r="A223" s="1206"/>
      <c r="B223" s="606" t="s">
        <v>1462</v>
      </c>
      <c r="C223" s="1046">
        <v>6274</v>
      </c>
      <c r="D223" s="1048"/>
      <c r="E223" s="1068">
        <v>800</v>
      </c>
      <c r="F223" s="1044"/>
      <c r="G223" s="1077">
        <f t="shared" si="3"/>
        <v>800</v>
      </c>
      <c r="H223" s="1042" t="str">
        <f>IF(C223="","",VLOOKUP(C223,Compte!$A$3:$B$346,2,0))</f>
        <v>Foires et expositions</v>
      </c>
      <c r="I223" s="1043" t="str">
        <f>IF(D223="","",VLOOKUP(D223,Compte!$A$3:$B$346,2,0))</f>
        <v/>
      </c>
    </row>
    <row r="224" spans="1:9">
      <c r="A224" s="1206"/>
      <c r="B224" s="606" t="s">
        <v>809</v>
      </c>
      <c r="C224" s="1046">
        <v>44522</v>
      </c>
      <c r="D224" s="1048"/>
      <c r="E224" s="1068">
        <v>100</v>
      </c>
      <c r="F224" s="1044"/>
      <c r="G224" s="1077">
        <f t="shared" si="3"/>
        <v>100</v>
      </c>
      <c r="H224" s="1042" t="str">
        <f>IF(C224="","",VLOOKUP(C224,Compte!$A$3:$B$346,2,0))</f>
        <v>T.V.A. récupérable sur achats a taux normal</v>
      </c>
      <c r="I224" s="1043" t="str">
        <f>IF(D224="","",VLOOKUP(D224,Compte!$A$3:$B$346,2,0))</f>
        <v/>
      </c>
    </row>
    <row r="225" spans="1:9">
      <c r="A225" s="1206"/>
      <c r="B225" s="606" t="s">
        <v>830</v>
      </c>
      <c r="C225" s="1046"/>
      <c r="D225" s="1048">
        <v>520</v>
      </c>
      <c r="E225" s="1068"/>
      <c r="F225" s="1044">
        <v>900</v>
      </c>
      <c r="G225" s="1077">
        <f t="shared" si="3"/>
        <v>900</v>
      </c>
      <c r="H225" s="1042" t="str">
        <f>IF(C225="","",VLOOKUP(C225,Compte!$A$3:$B$346,2,0))</f>
        <v/>
      </c>
      <c r="I225" s="1043" t="str">
        <f>IF(D225="","",VLOOKUP(D225,Compte!$A$3:$B$346,2,0))</f>
        <v>Banques cpte en monnaie nationale</v>
      </c>
    </row>
    <row r="226" spans="1:9">
      <c r="A226" s="1206"/>
      <c r="B226" s="606"/>
      <c r="C226" s="1046"/>
      <c r="D226" s="1048"/>
      <c r="E226" s="1068"/>
      <c r="F226" s="1044"/>
      <c r="G226" s="1077">
        <f t="shared" si="3"/>
        <v>0</v>
      </c>
      <c r="H226" s="1042" t="str">
        <f>IF(C226="","",VLOOKUP(C226,Compte!$A$3:$B$346,2,0))</f>
        <v/>
      </c>
      <c r="I226" s="1043" t="str">
        <f>IF(D226="","",VLOOKUP(D226,Compte!$A$3:$B$346,2,0))</f>
        <v/>
      </c>
    </row>
    <row r="227" spans="1:9">
      <c r="A227" s="1206"/>
      <c r="B227" s="606" t="s">
        <v>1463</v>
      </c>
      <c r="C227" s="1046">
        <v>6275</v>
      </c>
      <c r="D227" s="1048"/>
      <c r="E227" s="1068">
        <v>800</v>
      </c>
      <c r="F227" s="1044"/>
      <c r="G227" s="1077">
        <f t="shared" si="3"/>
        <v>800</v>
      </c>
      <c r="H227" s="1042" t="str">
        <f>IF(C227="","",VLOOKUP(C227,Compte!$A$3:$B$346,2,0))</f>
        <v>Publications</v>
      </c>
      <c r="I227" s="1043" t="str">
        <f>IF(D227="","",VLOOKUP(D227,Compte!$A$3:$B$346,2,0))</f>
        <v/>
      </c>
    </row>
    <row r="228" spans="1:9">
      <c r="A228" s="1206"/>
      <c r="B228" s="606" t="s">
        <v>809</v>
      </c>
      <c r="C228" s="1046">
        <v>44522</v>
      </c>
      <c r="D228" s="1048"/>
      <c r="E228" s="1068">
        <v>100</v>
      </c>
      <c r="F228" s="1044"/>
      <c r="G228" s="1077">
        <f t="shared" si="3"/>
        <v>100</v>
      </c>
      <c r="H228" s="1042" t="str">
        <f>IF(C228="","",VLOOKUP(C228,Compte!$A$3:$B$346,2,0))</f>
        <v>T.V.A. récupérable sur achats a taux normal</v>
      </c>
      <c r="I228" s="1043" t="str">
        <f>IF(D228="","",VLOOKUP(D228,Compte!$A$3:$B$346,2,0))</f>
        <v/>
      </c>
    </row>
    <row r="229" spans="1:9">
      <c r="A229" s="1206"/>
      <c r="B229" s="606" t="s">
        <v>830</v>
      </c>
      <c r="C229" s="1046"/>
      <c r="D229" s="1048">
        <v>520</v>
      </c>
      <c r="E229" s="1068"/>
      <c r="F229" s="1044">
        <v>900</v>
      </c>
      <c r="G229" s="1077">
        <f t="shared" si="3"/>
        <v>900</v>
      </c>
      <c r="H229" s="1042" t="str">
        <f>IF(C229="","",VLOOKUP(C229,Compte!$A$3:$B$346,2,0))</f>
        <v/>
      </c>
      <c r="I229" s="1043" t="str">
        <f>IF(D229="","",VLOOKUP(D229,Compte!$A$3:$B$346,2,0))</f>
        <v>Banques cpte en monnaie nationale</v>
      </c>
    </row>
    <row r="230" spans="1:9">
      <c r="A230" s="1206"/>
      <c r="B230" s="606"/>
      <c r="C230" s="1046"/>
      <c r="D230" s="1048"/>
      <c r="E230" s="1068"/>
      <c r="F230" s="1044"/>
      <c r="G230" s="1077">
        <f t="shared" si="3"/>
        <v>0</v>
      </c>
      <c r="H230" s="1042" t="str">
        <f>IF(C230="","",VLOOKUP(C230,Compte!$A$3:$B$346,2,0))</f>
        <v/>
      </c>
      <c r="I230" s="1043" t="str">
        <f>IF(D230="","",VLOOKUP(D230,Compte!$A$3:$B$346,2,0))</f>
        <v/>
      </c>
    </row>
    <row r="231" spans="1:9">
      <c r="A231" s="1206"/>
      <c r="B231" s="606" t="s">
        <v>1464</v>
      </c>
      <c r="C231" s="1046">
        <v>6276</v>
      </c>
      <c r="D231" s="1048"/>
      <c r="E231" s="1068">
        <v>800</v>
      </c>
      <c r="F231" s="1044"/>
      <c r="G231" s="1077">
        <f t="shared" si="3"/>
        <v>800</v>
      </c>
      <c r="H231" s="1042" t="str">
        <f>IF(C231="","",VLOOKUP(C231,Compte!$A$3:$B$346,2,0))</f>
        <v>Cadeaux à la clientèle</v>
      </c>
      <c r="I231" s="1043" t="str">
        <f>IF(D231="","",VLOOKUP(D231,Compte!$A$3:$B$346,2,0))</f>
        <v/>
      </c>
    </row>
    <row r="232" spans="1:9">
      <c r="A232" s="1206"/>
      <c r="B232" s="606" t="s">
        <v>809</v>
      </c>
      <c r="C232" s="1046">
        <v>44522</v>
      </c>
      <c r="D232" s="1048"/>
      <c r="E232" s="1068">
        <v>100</v>
      </c>
      <c r="F232" s="1044"/>
      <c r="G232" s="1077">
        <f t="shared" si="3"/>
        <v>100</v>
      </c>
      <c r="H232" s="1042" t="str">
        <f>IF(C232="","",VLOOKUP(C232,Compte!$A$3:$B$346,2,0))</f>
        <v>T.V.A. récupérable sur achats a taux normal</v>
      </c>
      <c r="I232" s="1043" t="str">
        <f>IF(D232="","",VLOOKUP(D232,Compte!$A$3:$B$346,2,0))</f>
        <v/>
      </c>
    </row>
    <row r="233" spans="1:9">
      <c r="A233" s="1206"/>
      <c r="B233" s="606" t="s">
        <v>830</v>
      </c>
      <c r="C233" s="1046"/>
      <c r="D233" s="1048">
        <v>520</v>
      </c>
      <c r="E233" s="1068"/>
      <c r="F233" s="1044">
        <v>900</v>
      </c>
      <c r="G233" s="1077">
        <f t="shared" si="3"/>
        <v>900</v>
      </c>
      <c r="H233" s="1042" t="str">
        <f>IF(C233="","",VLOOKUP(C233,Compte!$A$3:$B$346,2,0))</f>
        <v/>
      </c>
      <c r="I233" s="1043" t="str">
        <f>IF(D233="","",VLOOKUP(D233,Compte!$A$3:$B$346,2,0))</f>
        <v>Banques cpte en monnaie nationale</v>
      </c>
    </row>
    <row r="234" spans="1:9">
      <c r="A234" s="1206"/>
      <c r="B234" s="606"/>
      <c r="C234" s="1046"/>
      <c r="D234" s="1048"/>
      <c r="E234" s="1068"/>
      <c r="F234" s="1044"/>
      <c r="G234" s="1077">
        <f t="shared" si="3"/>
        <v>0</v>
      </c>
      <c r="H234" s="1042" t="str">
        <f>IF(C234="","",VLOOKUP(C234,Compte!$A$3:$B$346,2,0))</f>
        <v/>
      </c>
      <c r="I234" s="1043" t="str">
        <f>IF(D234="","",VLOOKUP(D234,Compte!$A$3:$B$346,2,0))</f>
        <v/>
      </c>
    </row>
    <row r="235" spans="1:9">
      <c r="A235" s="1206"/>
      <c r="B235" s="606" t="s">
        <v>1465</v>
      </c>
      <c r="C235" s="1046">
        <v>6277</v>
      </c>
      <c r="D235" s="1048"/>
      <c r="E235" s="1068">
        <v>800</v>
      </c>
      <c r="F235" s="1044"/>
      <c r="G235" s="1077">
        <f t="shared" si="3"/>
        <v>800</v>
      </c>
      <c r="H235" s="1042" t="str">
        <f>IF(C235="","",VLOOKUP(C235,Compte!$A$3:$B$346,2,0))</f>
        <v>Frais de colloques, séminaires, conférences</v>
      </c>
      <c r="I235" s="1043" t="str">
        <f>IF(D235="","",VLOOKUP(D235,Compte!$A$3:$B$346,2,0))</f>
        <v/>
      </c>
    </row>
    <row r="236" spans="1:9">
      <c r="A236" s="1206"/>
      <c r="B236" s="606" t="s">
        <v>809</v>
      </c>
      <c r="C236" s="1046">
        <v>44522</v>
      </c>
      <c r="D236" s="1048"/>
      <c r="E236" s="1068">
        <v>100</v>
      </c>
      <c r="F236" s="1044"/>
      <c r="G236" s="1077">
        <f t="shared" si="3"/>
        <v>100</v>
      </c>
      <c r="H236" s="1042" t="str">
        <f>IF(C236="","",VLOOKUP(C236,Compte!$A$3:$B$346,2,0))</f>
        <v>T.V.A. récupérable sur achats a taux normal</v>
      </c>
      <c r="I236" s="1043" t="str">
        <f>IF(D236="","",VLOOKUP(D236,Compte!$A$3:$B$346,2,0))</f>
        <v/>
      </c>
    </row>
    <row r="237" spans="1:9">
      <c r="A237" s="1206"/>
      <c r="B237" s="606" t="s">
        <v>830</v>
      </c>
      <c r="C237" s="1046"/>
      <c r="D237" s="1048">
        <v>520</v>
      </c>
      <c r="E237" s="1068"/>
      <c r="F237" s="1044">
        <v>900</v>
      </c>
      <c r="G237" s="1077">
        <f t="shared" si="3"/>
        <v>900</v>
      </c>
      <c r="H237" s="1042" t="str">
        <f>IF(C237="","",VLOOKUP(C237,Compte!$A$3:$B$346,2,0))</f>
        <v/>
      </c>
      <c r="I237" s="1043" t="str">
        <f>IF(D237="","",VLOOKUP(D237,Compte!$A$3:$B$346,2,0))</f>
        <v>Banques cpte en monnaie nationale</v>
      </c>
    </row>
    <row r="238" spans="1:9">
      <c r="A238" s="1206"/>
      <c r="B238" s="606"/>
      <c r="C238" s="1046"/>
      <c r="D238" s="1048"/>
      <c r="E238" s="1068"/>
      <c r="F238" s="1044"/>
      <c r="G238" s="1077">
        <f t="shared" si="3"/>
        <v>0</v>
      </c>
      <c r="H238" s="1042" t="str">
        <f>IF(C238="","",VLOOKUP(C238,Compte!$A$3:$B$346,2,0))</f>
        <v/>
      </c>
      <c r="I238" s="1043" t="str">
        <f>IF(D238="","",VLOOKUP(D238,Compte!$A$3:$B$346,2,0))</f>
        <v/>
      </c>
    </row>
    <row r="239" spans="1:9">
      <c r="A239" s="1206"/>
      <c r="B239" s="606" t="s">
        <v>1536</v>
      </c>
      <c r="C239" s="1046">
        <v>6278</v>
      </c>
      <c r="D239" s="1048"/>
      <c r="E239" s="1068">
        <v>800</v>
      </c>
      <c r="F239" s="1044"/>
      <c r="G239" s="1077">
        <f t="shared" si="3"/>
        <v>800</v>
      </c>
      <c r="H239" s="1042" t="str">
        <f>IF(C239="","",VLOOKUP(C239,Compte!$A$3:$B$346,2,0))</f>
        <v>Autres charges de publicité et relations publiques</v>
      </c>
      <c r="I239" s="1043" t="str">
        <f>IF(D239="","",VLOOKUP(D239,Compte!$A$3:$B$346,2,0))</f>
        <v/>
      </c>
    </row>
    <row r="240" spans="1:9">
      <c r="A240" s="1206"/>
      <c r="B240" s="606" t="s">
        <v>809</v>
      </c>
      <c r="C240" s="1046">
        <v>44522</v>
      </c>
      <c r="D240" s="1048"/>
      <c r="E240" s="1068">
        <v>100</v>
      </c>
      <c r="F240" s="1044"/>
      <c r="G240" s="1077">
        <f t="shared" si="3"/>
        <v>100</v>
      </c>
      <c r="H240" s="1042" t="str">
        <f>IF(C240="","",VLOOKUP(C240,Compte!$A$3:$B$346,2,0))</f>
        <v>T.V.A. récupérable sur achats a taux normal</v>
      </c>
      <c r="I240" s="1043" t="str">
        <f>IF(D240="","",VLOOKUP(D240,Compte!$A$3:$B$346,2,0))</f>
        <v/>
      </c>
    </row>
    <row r="241" spans="1:9">
      <c r="A241" s="1206"/>
      <c r="B241" s="606" t="s">
        <v>830</v>
      </c>
      <c r="C241" s="1046"/>
      <c r="D241" s="1048">
        <v>520</v>
      </c>
      <c r="E241" s="1068"/>
      <c r="F241" s="1044">
        <v>900</v>
      </c>
      <c r="G241" s="1077">
        <f t="shared" si="3"/>
        <v>900</v>
      </c>
      <c r="H241" s="1042" t="str">
        <f>IF(C241="","",VLOOKUP(C241,Compte!$A$3:$B$346,2,0))</f>
        <v/>
      </c>
      <c r="I241" s="1043" t="str">
        <f>IF(D241="","",VLOOKUP(D241,Compte!$A$3:$B$346,2,0))</f>
        <v>Banques cpte en monnaie nationale</v>
      </c>
    </row>
    <row r="242" spans="1:9">
      <c r="A242" s="1206"/>
      <c r="B242" s="606"/>
      <c r="C242" s="1046"/>
      <c r="D242" s="1048"/>
      <c r="E242" s="1068"/>
      <c r="F242" s="1044"/>
      <c r="G242" s="1077">
        <f t="shared" si="3"/>
        <v>0</v>
      </c>
      <c r="H242" s="1042" t="str">
        <f>IF(C242="","",VLOOKUP(C242,Compte!$A$3:$B$346,2,0))</f>
        <v/>
      </c>
      <c r="I242" s="1043" t="str">
        <f>IF(D242="","",VLOOKUP(D242,Compte!$A$3:$B$346,2,0))</f>
        <v/>
      </c>
    </row>
    <row r="243" spans="1:9">
      <c r="A243" s="1206"/>
      <c r="B243" s="606" t="s">
        <v>1466</v>
      </c>
      <c r="C243" s="1046">
        <v>6281</v>
      </c>
      <c r="D243" s="1048"/>
      <c r="E243" s="1068">
        <v>800</v>
      </c>
      <c r="F243" s="1044"/>
      <c r="G243" s="1077">
        <f t="shared" si="3"/>
        <v>800</v>
      </c>
      <c r="H243" s="1042" t="str">
        <f>IF(C243="","",VLOOKUP(C243,Compte!$A$3:$B$346,2,0))</f>
        <v>Frais de téléphone</v>
      </c>
      <c r="I243" s="1043" t="str">
        <f>IF(D243="","",VLOOKUP(D243,Compte!$A$3:$B$346,2,0))</f>
        <v/>
      </c>
    </row>
    <row r="244" spans="1:9">
      <c r="A244" s="1206"/>
      <c r="B244" s="606" t="s">
        <v>809</v>
      </c>
      <c r="C244" s="1046">
        <v>44522</v>
      </c>
      <c r="D244" s="1048"/>
      <c r="E244" s="1068">
        <v>100</v>
      </c>
      <c r="F244" s="1044"/>
      <c r="G244" s="1077">
        <f t="shared" si="3"/>
        <v>100</v>
      </c>
      <c r="H244" s="1042" t="str">
        <f>IF(C244="","",VLOOKUP(C244,Compte!$A$3:$B$346,2,0))</f>
        <v>T.V.A. récupérable sur achats a taux normal</v>
      </c>
      <c r="I244" s="1043" t="str">
        <f>IF(D244="","",VLOOKUP(D244,Compte!$A$3:$B$346,2,0))</f>
        <v/>
      </c>
    </row>
    <row r="245" spans="1:9">
      <c r="A245" s="1206"/>
      <c r="B245" s="606" t="s">
        <v>830</v>
      </c>
      <c r="C245" s="1046"/>
      <c r="D245" s="1048">
        <v>520</v>
      </c>
      <c r="E245" s="1068"/>
      <c r="F245" s="1044">
        <v>900</v>
      </c>
      <c r="G245" s="1077">
        <f t="shared" si="3"/>
        <v>900</v>
      </c>
      <c r="H245" s="1042" t="str">
        <f>IF(C245="","",VLOOKUP(C245,Compte!$A$3:$B$346,2,0))</f>
        <v/>
      </c>
      <c r="I245" s="1043" t="str">
        <f>IF(D245="","",VLOOKUP(D245,Compte!$A$3:$B$346,2,0))</f>
        <v>Banques cpte en monnaie nationale</v>
      </c>
    </row>
    <row r="246" spans="1:9">
      <c r="A246" s="1206"/>
      <c r="B246" s="606"/>
      <c r="C246" s="1046"/>
      <c r="D246" s="1048"/>
      <c r="E246" s="1068"/>
      <c r="F246" s="1044"/>
      <c r="G246" s="1077">
        <f t="shared" si="3"/>
        <v>0</v>
      </c>
      <c r="H246" s="1042" t="str">
        <f>IF(C246="","",VLOOKUP(C246,Compte!$A$3:$B$346,2,0))</f>
        <v/>
      </c>
      <c r="I246" s="1043" t="str">
        <f>IF(D246="","",VLOOKUP(D246,Compte!$A$3:$B$346,2,0))</f>
        <v/>
      </c>
    </row>
    <row r="247" spans="1:9">
      <c r="A247" s="1206"/>
      <c r="B247" s="606" t="s">
        <v>395</v>
      </c>
      <c r="C247" s="1046">
        <v>6282</v>
      </c>
      <c r="D247" s="1048"/>
      <c r="E247" s="1068">
        <v>800</v>
      </c>
      <c r="F247" s="1044"/>
      <c r="G247" s="1077">
        <f t="shared" si="3"/>
        <v>800</v>
      </c>
      <c r="H247" s="1042" t="str">
        <f>IF(C247="","",VLOOKUP(C247,Compte!$A$3:$B$346,2,0))</f>
        <v>Frais d'internet</v>
      </c>
      <c r="I247" s="1043" t="str">
        <f>IF(D247="","",VLOOKUP(D247,Compte!$A$3:$B$346,2,0))</f>
        <v/>
      </c>
    </row>
    <row r="248" spans="1:9">
      <c r="A248" s="1206"/>
      <c r="B248" s="606" t="s">
        <v>809</v>
      </c>
      <c r="C248" s="1046">
        <v>44522</v>
      </c>
      <c r="D248" s="1048"/>
      <c r="E248" s="1068">
        <v>100</v>
      </c>
      <c r="F248" s="1044"/>
      <c r="G248" s="1077">
        <f t="shared" si="3"/>
        <v>100</v>
      </c>
      <c r="H248" s="1042" t="str">
        <f>IF(C248="","",VLOOKUP(C248,Compte!$A$3:$B$346,2,0))</f>
        <v>T.V.A. récupérable sur achats a taux normal</v>
      </c>
      <c r="I248" s="1043" t="str">
        <f>IF(D248="","",VLOOKUP(D248,Compte!$A$3:$B$346,2,0))</f>
        <v/>
      </c>
    </row>
    <row r="249" spans="1:9">
      <c r="A249" s="1206"/>
      <c r="B249" s="606" t="s">
        <v>830</v>
      </c>
      <c r="C249" s="1046"/>
      <c r="D249" s="1048">
        <v>520</v>
      </c>
      <c r="E249" s="1068"/>
      <c r="F249" s="1044">
        <v>900</v>
      </c>
      <c r="G249" s="1077">
        <f t="shared" si="3"/>
        <v>900</v>
      </c>
      <c r="H249" s="1042" t="str">
        <f>IF(C249="","",VLOOKUP(C249,Compte!$A$3:$B$346,2,0))</f>
        <v/>
      </c>
      <c r="I249" s="1043" t="str">
        <f>IF(D249="","",VLOOKUP(D249,Compte!$A$3:$B$346,2,0))</f>
        <v>Banques cpte en monnaie nationale</v>
      </c>
    </row>
    <row r="250" spans="1:9">
      <c r="A250" s="1206"/>
      <c r="B250" s="606" t="s">
        <v>396</v>
      </c>
      <c r="C250" s="1046">
        <v>6283</v>
      </c>
      <c r="D250" s="1048"/>
      <c r="E250" s="1068">
        <v>800</v>
      </c>
      <c r="F250" s="1044"/>
      <c r="G250" s="1077">
        <f t="shared" si="3"/>
        <v>800</v>
      </c>
      <c r="H250" s="1042" t="str">
        <f>IF(C250="","",VLOOKUP(C250,Compte!$A$3:$B$346,2,0))</f>
        <v>Frais de télécopie</v>
      </c>
      <c r="I250" s="1043" t="str">
        <f>IF(D250="","",VLOOKUP(D250,Compte!$A$3:$B$346,2,0))</f>
        <v/>
      </c>
    </row>
    <row r="251" spans="1:9">
      <c r="A251" s="1206"/>
      <c r="B251" s="606" t="s">
        <v>809</v>
      </c>
      <c r="C251" s="1046">
        <v>44522</v>
      </c>
      <c r="D251" s="1048"/>
      <c r="E251" s="1068">
        <v>100</v>
      </c>
      <c r="F251" s="1044"/>
      <c r="G251" s="1077">
        <f t="shared" si="3"/>
        <v>100</v>
      </c>
      <c r="H251" s="1042" t="str">
        <f>IF(C251="","",VLOOKUP(C251,Compte!$A$3:$B$346,2,0))</f>
        <v>T.V.A. récupérable sur achats a taux normal</v>
      </c>
      <c r="I251" s="1043" t="str">
        <f>IF(D251="","",VLOOKUP(D251,Compte!$A$3:$B$346,2,0))</f>
        <v/>
      </c>
    </row>
    <row r="252" spans="1:9">
      <c r="A252" s="1206"/>
      <c r="B252" s="606" t="s">
        <v>830</v>
      </c>
      <c r="C252" s="1046"/>
      <c r="D252" s="1048">
        <v>520</v>
      </c>
      <c r="E252" s="1068"/>
      <c r="F252" s="1044">
        <v>900</v>
      </c>
      <c r="G252" s="1077">
        <f t="shared" si="3"/>
        <v>900</v>
      </c>
      <c r="H252" s="1042" t="str">
        <f>IF(C252="","",VLOOKUP(C252,Compte!$A$3:$B$346,2,0))</f>
        <v/>
      </c>
      <c r="I252" s="1043" t="str">
        <f>IF(D252="","",VLOOKUP(D252,Compte!$A$3:$B$346,2,0))</f>
        <v>Banques cpte en monnaie nationale</v>
      </c>
    </row>
    <row r="253" spans="1:9">
      <c r="A253" s="1206"/>
      <c r="B253" s="606" t="s">
        <v>1537</v>
      </c>
      <c r="C253" s="1046">
        <v>6288</v>
      </c>
      <c r="D253" s="1048"/>
      <c r="E253" s="1068">
        <v>800</v>
      </c>
      <c r="F253" s="1044"/>
      <c r="G253" s="1077">
        <f t="shared" si="3"/>
        <v>800</v>
      </c>
      <c r="H253" s="1042" t="str">
        <f>IF(C253="","",VLOOKUP(C253,Compte!$A$3:$B$346,2,0))</f>
        <v>Autres frais de télécommunications</v>
      </c>
      <c r="I253" s="1043" t="str">
        <f>IF(D253="","",VLOOKUP(D253,Compte!$A$3:$B$346,2,0))</f>
        <v/>
      </c>
    </row>
    <row r="254" spans="1:9">
      <c r="A254" s="1206"/>
      <c r="B254" s="606" t="s">
        <v>809</v>
      </c>
      <c r="C254" s="1046">
        <v>44522</v>
      </c>
      <c r="D254" s="1048"/>
      <c r="E254" s="1068">
        <v>100</v>
      </c>
      <c r="F254" s="1044"/>
      <c r="G254" s="1077">
        <f t="shared" si="3"/>
        <v>100</v>
      </c>
      <c r="H254" s="1042" t="str">
        <f>IF(C254="","",VLOOKUP(C254,Compte!$A$3:$B$346,2,0))</f>
        <v>T.V.A. récupérable sur achats a taux normal</v>
      </c>
      <c r="I254" s="1043" t="str">
        <f>IF(D254="","",VLOOKUP(D254,Compte!$A$3:$B$346,2,0))</f>
        <v/>
      </c>
    </row>
    <row r="255" spans="1:9">
      <c r="A255" s="1206"/>
      <c r="B255" s="606" t="s">
        <v>830</v>
      </c>
      <c r="C255" s="1046"/>
      <c r="D255" s="1048">
        <v>520</v>
      </c>
      <c r="E255" s="1068"/>
      <c r="F255" s="1044">
        <v>900</v>
      </c>
      <c r="G255" s="1077">
        <f t="shared" si="3"/>
        <v>900</v>
      </c>
      <c r="H255" s="1042" t="str">
        <f>IF(C255="","",VLOOKUP(C255,Compte!$A$3:$B$346,2,0))</f>
        <v/>
      </c>
      <c r="I255" s="1043" t="str">
        <f>IF(D255="","",VLOOKUP(D255,Compte!$A$3:$B$346,2,0))</f>
        <v>Banques cpte en monnaie nationale</v>
      </c>
    </row>
    <row r="256" spans="1:9">
      <c r="A256" s="1206"/>
      <c r="B256" s="606" t="s">
        <v>1467</v>
      </c>
      <c r="C256" s="1046">
        <v>6324</v>
      </c>
      <c r="D256" s="1048"/>
      <c r="E256" s="1068">
        <v>800</v>
      </c>
      <c r="F256" s="1044"/>
      <c r="G256" s="1077">
        <f t="shared" si="3"/>
        <v>800</v>
      </c>
      <c r="H256" s="1042" t="str">
        <f>IF(C256="","",VLOOKUP(C256,Compte!$A$3:$B$346,2,0))</f>
        <v>Honoraires</v>
      </c>
      <c r="I256" s="1043" t="str">
        <f>IF(D256="","",VLOOKUP(D256,Compte!$A$3:$B$346,2,0))</f>
        <v/>
      </c>
    </row>
    <row r="257" spans="1:9">
      <c r="A257" s="1206"/>
      <c r="B257" s="606" t="s">
        <v>809</v>
      </c>
      <c r="C257" s="1046">
        <v>44522</v>
      </c>
      <c r="D257" s="1048"/>
      <c r="E257" s="1068">
        <v>100</v>
      </c>
      <c r="F257" s="1044"/>
      <c r="G257" s="1077">
        <f t="shared" si="3"/>
        <v>100</v>
      </c>
      <c r="H257" s="1042" t="str">
        <f>IF(C257="","",VLOOKUP(C257,Compte!$A$3:$B$346,2,0))</f>
        <v>T.V.A. récupérable sur achats a taux normal</v>
      </c>
      <c r="I257" s="1043" t="str">
        <f>IF(D257="","",VLOOKUP(D257,Compte!$A$3:$B$346,2,0))</f>
        <v/>
      </c>
    </row>
    <row r="258" spans="1:9">
      <c r="A258" s="1206"/>
      <c r="B258" s="606" t="s">
        <v>830</v>
      </c>
      <c r="C258" s="1046"/>
      <c r="D258" s="1048">
        <v>520</v>
      </c>
      <c r="E258" s="1068"/>
      <c r="F258" s="1044">
        <v>900</v>
      </c>
      <c r="G258" s="1077">
        <f t="shared" si="3"/>
        <v>900</v>
      </c>
      <c r="H258" s="1042" t="str">
        <f>IF(C258="","",VLOOKUP(C258,Compte!$A$3:$B$346,2,0))</f>
        <v/>
      </c>
      <c r="I258" s="1043" t="str">
        <f>IF(D258="","",VLOOKUP(D258,Compte!$A$3:$B$346,2,0))</f>
        <v>Banques cpte en monnaie nationale</v>
      </c>
    </row>
    <row r="259" spans="1:9">
      <c r="A259" s="1206"/>
      <c r="B259" s="606" t="s">
        <v>1468</v>
      </c>
      <c r="C259" s="1046">
        <v>6325</v>
      </c>
      <c r="D259" s="1048"/>
      <c r="E259" s="1068">
        <v>800</v>
      </c>
      <c r="F259" s="1044"/>
      <c r="G259" s="1077">
        <f t="shared" si="3"/>
        <v>800</v>
      </c>
      <c r="H259" s="1042" t="str">
        <f>IF(C259="","",VLOOKUP(C259,Compte!$A$3:$B$346,2,0))</f>
        <v>Frais d'actes et de contentieux</v>
      </c>
      <c r="I259" s="1043" t="str">
        <f>IF(D259="","",VLOOKUP(D259,Compte!$A$3:$B$346,2,0))</f>
        <v/>
      </c>
    </row>
    <row r="260" spans="1:9">
      <c r="A260" s="1206"/>
      <c r="B260" s="606" t="s">
        <v>809</v>
      </c>
      <c r="C260" s="1046">
        <v>44522</v>
      </c>
      <c r="D260" s="1048"/>
      <c r="E260" s="1068">
        <v>100</v>
      </c>
      <c r="F260" s="1044"/>
      <c r="G260" s="1077">
        <f t="shared" si="3"/>
        <v>100</v>
      </c>
      <c r="H260" s="1042" t="str">
        <f>IF(C260="","",VLOOKUP(C260,Compte!$A$3:$B$346,2,0))</f>
        <v>T.V.A. récupérable sur achats a taux normal</v>
      </c>
      <c r="I260" s="1043" t="str">
        <f>IF(D260="","",VLOOKUP(D260,Compte!$A$3:$B$346,2,0))</f>
        <v/>
      </c>
    </row>
    <row r="261" spans="1:9">
      <c r="A261" s="1206"/>
      <c r="B261" s="606" t="s">
        <v>830</v>
      </c>
      <c r="C261" s="1046"/>
      <c r="D261" s="1048">
        <v>520</v>
      </c>
      <c r="E261" s="1068"/>
      <c r="F261" s="1044">
        <v>900</v>
      </c>
      <c r="G261" s="1077">
        <f t="shared" si="3"/>
        <v>900</v>
      </c>
      <c r="H261" s="1042" t="str">
        <f>IF(C261="","",VLOOKUP(C261,Compte!$A$3:$B$346,2,0))</f>
        <v/>
      </c>
      <c r="I261" s="1043" t="str">
        <f>IF(D261="","",VLOOKUP(D261,Compte!$A$3:$B$346,2,0))</f>
        <v>Banques cpte en monnaie nationale</v>
      </c>
    </row>
    <row r="262" spans="1:9">
      <c r="A262" s="1206"/>
      <c r="B262" s="606" t="s">
        <v>400</v>
      </c>
      <c r="C262" s="1046">
        <v>6328</v>
      </c>
      <c r="D262" s="1048"/>
      <c r="E262" s="1068">
        <v>800</v>
      </c>
      <c r="F262" s="1044"/>
      <c r="G262" s="1077">
        <f t="shared" si="3"/>
        <v>800</v>
      </c>
      <c r="H262" s="1042" t="str">
        <f>IF(C262="","",VLOOKUP(C262,Compte!$A$3:$B$346,2,0))</f>
        <v>Divers frais</v>
      </c>
      <c r="I262" s="1043" t="str">
        <f>IF(D262="","",VLOOKUP(D262,Compte!$A$3:$B$346,2,0))</f>
        <v/>
      </c>
    </row>
    <row r="263" spans="1:9">
      <c r="A263" s="1206"/>
      <c r="B263" s="606" t="s">
        <v>809</v>
      </c>
      <c r="C263" s="1046">
        <v>44522</v>
      </c>
      <c r="D263" s="1048"/>
      <c r="E263" s="1068">
        <v>100</v>
      </c>
      <c r="F263" s="1044"/>
      <c r="G263" s="1077">
        <f t="shared" si="3"/>
        <v>100</v>
      </c>
      <c r="H263" s="1042" t="str">
        <f>IF(C263="","",VLOOKUP(C263,Compte!$A$3:$B$346,2,0))</f>
        <v>T.V.A. récupérable sur achats a taux normal</v>
      </c>
      <c r="I263" s="1043" t="str">
        <f>IF(D263="","",VLOOKUP(D263,Compte!$A$3:$B$346,2,0))</f>
        <v/>
      </c>
    </row>
    <row r="264" spans="1:9">
      <c r="A264" s="1206"/>
      <c r="B264" s="606" t="s">
        <v>830</v>
      </c>
      <c r="C264" s="1046"/>
      <c r="D264" s="1048">
        <v>520</v>
      </c>
      <c r="E264" s="1068"/>
      <c r="F264" s="1044">
        <v>900</v>
      </c>
      <c r="G264" s="1077">
        <f t="shared" ref="G264:G327" si="4">IF(C264="",F264,E264)</f>
        <v>900</v>
      </c>
      <c r="H264" s="1042" t="str">
        <f>IF(C264="","",VLOOKUP(C264,Compte!$A$3:$B$346,2,0))</f>
        <v/>
      </c>
      <c r="I264" s="1043" t="str">
        <f>IF(D264="","",VLOOKUP(D264,Compte!$A$3:$B$346,2,0))</f>
        <v>Banques cpte en monnaie nationale</v>
      </c>
    </row>
    <row r="265" spans="1:9">
      <c r="A265" s="1206"/>
      <c r="B265" s="606" t="s">
        <v>1469</v>
      </c>
      <c r="C265" s="1046">
        <v>6342</v>
      </c>
      <c r="D265" s="1048"/>
      <c r="E265" s="1068">
        <v>800</v>
      </c>
      <c r="F265" s="1044"/>
      <c r="G265" s="1077">
        <f t="shared" si="4"/>
        <v>800</v>
      </c>
      <c r="H265" s="1042" t="str">
        <f>IF(C265="","",VLOOKUP(C265,Compte!$A$3:$B$346,2,0))</f>
        <v>Redevances pour brevets, licences, concessions et droits similaires</v>
      </c>
      <c r="I265" s="1043" t="str">
        <f>IF(D265="","",VLOOKUP(D265,Compte!$A$3:$B$346,2,0))</f>
        <v/>
      </c>
    </row>
    <row r="266" spans="1:9">
      <c r="A266" s="1206"/>
      <c r="B266" s="606" t="s">
        <v>809</v>
      </c>
      <c r="C266" s="1046">
        <v>44522</v>
      </c>
      <c r="D266" s="1048"/>
      <c r="E266" s="1068">
        <v>100</v>
      </c>
      <c r="F266" s="1044"/>
      <c r="G266" s="1077">
        <f t="shared" si="4"/>
        <v>100</v>
      </c>
      <c r="H266" s="1042" t="str">
        <f>IF(C266="","",VLOOKUP(C266,Compte!$A$3:$B$346,2,0))</f>
        <v>T.V.A. récupérable sur achats a taux normal</v>
      </c>
      <c r="I266" s="1043" t="str">
        <f>IF(D266="","",VLOOKUP(D266,Compte!$A$3:$B$346,2,0))</f>
        <v/>
      </c>
    </row>
    <row r="267" spans="1:9">
      <c r="A267" s="1206"/>
      <c r="B267" s="606" t="s">
        <v>830</v>
      </c>
      <c r="C267" s="1046"/>
      <c r="D267" s="1048">
        <v>520</v>
      </c>
      <c r="E267" s="1068"/>
      <c r="F267" s="1044">
        <v>900</v>
      </c>
      <c r="G267" s="1077">
        <f t="shared" si="4"/>
        <v>900</v>
      </c>
      <c r="H267" s="1042" t="str">
        <f>IF(C267="","",VLOOKUP(C267,Compte!$A$3:$B$346,2,0))</f>
        <v/>
      </c>
      <c r="I267" s="1043" t="str">
        <f>IF(D267="","",VLOOKUP(D267,Compte!$A$3:$B$346,2,0))</f>
        <v>Banques cpte en monnaie nationale</v>
      </c>
    </row>
    <row r="268" spans="1:9">
      <c r="A268" s="1206"/>
      <c r="B268" s="606" t="s">
        <v>1470</v>
      </c>
      <c r="C268" s="1046">
        <v>6350</v>
      </c>
      <c r="D268" s="1048"/>
      <c r="E268" s="1068">
        <v>800</v>
      </c>
      <c r="F268" s="1044"/>
      <c r="G268" s="1077">
        <f t="shared" si="4"/>
        <v>800</v>
      </c>
      <c r="H268" s="1042" t="str">
        <f>IF(C268="","",VLOOKUP(C268,Compte!$A$3:$B$346,2,0))</f>
        <v>Autres impôts, droit et autres enregistrements</v>
      </c>
      <c r="I268" s="1043" t="str">
        <f>IF(D268="","",VLOOKUP(D268,Compte!$A$3:$B$346,2,0))</f>
        <v/>
      </c>
    </row>
    <row r="269" spans="1:9">
      <c r="A269" s="1206"/>
      <c r="B269" s="606" t="s">
        <v>809</v>
      </c>
      <c r="C269" s="1046">
        <v>44522</v>
      </c>
      <c r="D269" s="1048"/>
      <c r="E269" s="1068">
        <v>100</v>
      </c>
      <c r="F269" s="1044"/>
      <c r="G269" s="1077">
        <f t="shared" si="4"/>
        <v>100</v>
      </c>
      <c r="H269" s="1042" t="str">
        <f>IF(C269="","",VLOOKUP(C269,Compte!$A$3:$B$346,2,0))</f>
        <v>T.V.A. récupérable sur achats a taux normal</v>
      </c>
      <c r="I269" s="1043" t="str">
        <f>IF(D269="","",VLOOKUP(D269,Compte!$A$3:$B$346,2,0))</f>
        <v/>
      </c>
    </row>
    <row r="270" spans="1:9">
      <c r="A270" s="1206"/>
      <c r="B270" s="606" t="s">
        <v>830</v>
      </c>
      <c r="C270" s="1046"/>
      <c r="D270" s="1048">
        <v>520</v>
      </c>
      <c r="E270" s="1068"/>
      <c r="F270" s="1044">
        <v>900</v>
      </c>
      <c r="G270" s="1077">
        <f t="shared" si="4"/>
        <v>900</v>
      </c>
      <c r="H270" s="1042" t="str">
        <f>IF(C270="","",VLOOKUP(C270,Compte!$A$3:$B$346,2,0))</f>
        <v/>
      </c>
      <c r="I270" s="1043" t="str">
        <f>IF(D270="","",VLOOKUP(D270,Compte!$A$3:$B$346,2,0))</f>
        <v>Banques cpte en monnaie nationale</v>
      </c>
    </row>
    <row r="271" spans="1:9">
      <c r="A271" s="1206"/>
      <c r="B271" s="606" t="s">
        <v>1471</v>
      </c>
      <c r="C271" s="1046">
        <v>6222</v>
      </c>
      <c r="D271" s="1048"/>
      <c r="E271" s="1068">
        <v>800</v>
      </c>
      <c r="F271" s="1044"/>
      <c r="G271" s="1077">
        <f t="shared" si="4"/>
        <v>800</v>
      </c>
      <c r="H271" s="1042" t="str">
        <f>IF(C271="","",VLOOKUP(C271,Compte!$A$3:$B$346,2,0))</f>
        <v>Locations de bâtiments</v>
      </c>
      <c r="I271" s="1043" t="str">
        <f>IF(D271="","",VLOOKUP(D271,Compte!$A$3:$B$346,2,0))</f>
        <v/>
      </c>
    </row>
    <row r="272" spans="1:9">
      <c r="A272" s="1206"/>
      <c r="B272" s="606" t="s">
        <v>809</v>
      </c>
      <c r="C272" s="1046">
        <v>44522</v>
      </c>
      <c r="D272" s="1048"/>
      <c r="E272" s="1068">
        <v>100</v>
      </c>
      <c r="F272" s="1044"/>
      <c r="G272" s="1077">
        <f t="shared" si="4"/>
        <v>100</v>
      </c>
      <c r="H272" s="1042" t="str">
        <f>IF(C272="","",VLOOKUP(C272,Compte!$A$3:$B$346,2,0))</f>
        <v>T.V.A. récupérable sur achats a taux normal</v>
      </c>
      <c r="I272" s="1043" t="str">
        <f>IF(D272="","",VLOOKUP(D272,Compte!$A$3:$B$346,2,0))</f>
        <v/>
      </c>
    </row>
    <row r="273" spans="1:9">
      <c r="A273" s="1206"/>
      <c r="B273" s="606" t="s">
        <v>830</v>
      </c>
      <c r="C273" s="1046"/>
      <c r="D273" s="1048">
        <v>520</v>
      </c>
      <c r="E273" s="1068"/>
      <c r="F273" s="1044">
        <v>900</v>
      </c>
      <c r="G273" s="1077">
        <f t="shared" si="4"/>
        <v>900</v>
      </c>
      <c r="H273" s="1042" t="str">
        <f>IF(C273="","",VLOOKUP(C273,Compte!$A$3:$B$346,2,0))</f>
        <v/>
      </c>
      <c r="I273" s="1043" t="str">
        <f>IF(D273="","",VLOOKUP(D273,Compte!$A$3:$B$346,2,0))</f>
        <v>Banques cpte en monnaie nationale</v>
      </c>
    </row>
    <row r="274" spans="1:9">
      <c r="A274" s="1206"/>
      <c r="B274" s="606" t="s">
        <v>1472</v>
      </c>
      <c r="C274" s="1046">
        <v>6260</v>
      </c>
      <c r="D274" s="1048"/>
      <c r="E274" s="1068">
        <v>800</v>
      </c>
      <c r="F274" s="1044"/>
      <c r="G274" s="1077">
        <f t="shared" si="4"/>
        <v>800</v>
      </c>
      <c r="H274" s="1042" t="str">
        <f>IF(C274="","",VLOOKUP(C274,Compte!$A$3:$B$346,2,0))</f>
        <v>frais d'étude et documentation</v>
      </c>
      <c r="I274" s="1043" t="str">
        <f>IF(D274="","",VLOOKUP(D274,Compte!$A$3:$B$346,2,0))</f>
        <v/>
      </c>
    </row>
    <row r="275" spans="1:9">
      <c r="A275" s="1206"/>
      <c r="B275" s="606" t="s">
        <v>809</v>
      </c>
      <c r="C275" s="1046">
        <v>44522</v>
      </c>
      <c r="D275" s="1048"/>
      <c r="E275" s="1068">
        <v>100</v>
      </c>
      <c r="F275" s="1044"/>
      <c r="G275" s="1077">
        <f t="shared" si="4"/>
        <v>100</v>
      </c>
      <c r="H275" s="1042" t="str">
        <f>IF(C275="","",VLOOKUP(C275,Compte!$A$3:$B$346,2,0))</f>
        <v>T.V.A. récupérable sur achats a taux normal</v>
      </c>
      <c r="I275" s="1043" t="str">
        <f>IF(D275="","",VLOOKUP(D275,Compte!$A$3:$B$346,2,0))</f>
        <v/>
      </c>
    </row>
    <row r="276" spans="1:9">
      <c r="A276" s="1206"/>
      <c r="B276" s="606" t="s">
        <v>830</v>
      </c>
      <c r="C276" s="1046"/>
      <c r="D276" s="1048">
        <v>520</v>
      </c>
      <c r="E276" s="1068"/>
      <c r="F276" s="1044">
        <v>900</v>
      </c>
      <c r="G276" s="1077">
        <f t="shared" si="4"/>
        <v>900</v>
      </c>
      <c r="H276" s="1042" t="str">
        <f>IF(C276="","",VLOOKUP(C276,Compte!$A$3:$B$346,2,0))</f>
        <v/>
      </c>
      <c r="I276" s="1043" t="str">
        <f>IF(D276="","",VLOOKUP(D276,Compte!$A$3:$B$346,2,0))</f>
        <v>Banques cpte en monnaie nationale</v>
      </c>
    </row>
    <row r="277" spans="1:9">
      <c r="A277" s="1206"/>
      <c r="B277" s="606" t="s">
        <v>958</v>
      </c>
      <c r="C277" s="1046">
        <v>520</v>
      </c>
      <c r="D277" s="1048"/>
      <c r="E277" s="1068">
        <v>50000</v>
      </c>
      <c r="F277" s="1044"/>
      <c r="G277" s="1077">
        <f t="shared" si="4"/>
        <v>50000</v>
      </c>
      <c r="H277" s="1042" t="str">
        <f>IF(C277="","",VLOOKUP(C277,Compte!$A$3:$B$346,2,0))</f>
        <v>Banques cpte en monnaie nationale</v>
      </c>
      <c r="I277" s="1043" t="str">
        <f>IF(D277="","",VLOOKUP(D277,Compte!$A$3:$B$346,2,0))</f>
        <v/>
      </c>
    </row>
    <row r="278" spans="1:9">
      <c r="A278" s="1206"/>
      <c r="B278" s="606" t="s">
        <v>1474</v>
      </c>
      <c r="C278" s="1046"/>
      <c r="D278" s="1048">
        <v>162</v>
      </c>
      <c r="E278" s="1068"/>
      <c r="F278" s="1044">
        <v>50000</v>
      </c>
      <c r="G278" s="1077">
        <f t="shared" si="4"/>
        <v>50000</v>
      </c>
      <c r="H278" s="1042" t="str">
        <f>IF(C278="","",VLOOKUP(C278,Compte!$A$3:$B$346,2,0))</f>
        <v/>
      </c>
      <c r="I278" s="1043" t="str">
        <f>IF(D278="","",VLOOKUP(D278,Compte!$A$3:$B$346,2,0))</f>
        <v>Emprunts auprès des établissement de crédit</v>
      </c>
    </row>
    <row r="279" spans="1:9">
      <c r="A279" s="1206"/>
      <c r="B279" s="606" t="s">
        <v>959</v>
      </c>
      <c r="C279" s="1046">
        <v>162</v>
      </c>
      <c r="D279" s="1048"/>
      <c r="E279" s="1068">
        <v>10000</v>
      </c>
      <c r="F279" s="1044"/>
      <c r="G279" s="1077">
        <f t="shared" si="4"/>
        <v>10000</v>
      </c>
      <c r="H279" s="1042" t="str">
        <f>IF(C279="","",VLOOKUP(C279,Compte!$A$3:$B$346,2,0))</f>
        <v>Emprunts auprès des établissement de crédit</v>
      </c>
      <c r="I279" s="1043" t="str">
        <f>IF(D279="","",VLOOKUP(D279,Compte!$A$3:$B$346,2,0))</f>
        <v/>
      </c>
    </row>
    <row r="280" spans="1:9">
      <c r="A280" s="1206"/>
      <c r="B280" s="606" t="s">
        <v>1538</v>
      </c>
      <c r="C280" s="1046">
        <v>6710</v>
      </c>
      <c r="D280" s="1048"/>
      <c r="E280" s="1068">
        <v>25000</v>
      </c>
      <c r="F280" s="1044"/>
      <c r="G280" s="1077">
        <f t="shared" si="4"/>
        <v>25000</v>
      </c>
      <c r="H280" s="1042" t="str">
        <f>IF(C280="","",VLOOKUP(C280,Compte!$A$3:$B$346,2,0))</f>
        <v>Intérêts des emprunts</v>
      </c>
      <c r="I280" s="1043" t="str">
        <f>IF(D280="","",VLOOKUP(D280,Compte!$A$3:$B$346,2,0))</f>
        <v/>
      </c>
    </row>
    <row r="281" spans="1:9">
      <c r="A281" s="1206"/>
      <c r="B281" s="606" t="s">
        <v>830</v>
      </c>
      <c r="C281" s="1046"/>
      <c r="D281" s="1048">
        <v>520</v>
      </c>
      <c r="E281" s="1068"/>
      <c r="F281" s="1044">
        <v>35000</v>
      </c>
      <c r="G281" s="1077">
        <f t="shared" si="4"/>
        <v>35000</v>
      </c>
      <c r="H281" s="1042" t="str">
        <f>IF(C281="","",VLOOKUP(C281,Compte!$A$3:$B$346,2,0))</f>
        <v/>
      </c>
      <c r="I281" s="1043" t="str">
        <f>IF(D281="","",VLOOKUP(D281,Compte!$A$3:$B$346,2,0))</f>
        <v>Banques cpte en monnaie nationale</v>
      </c>
    </row>
    <row r="282" spans="1:9">
      <c r="A282" s="1206"/>
      <c r="B282" s="606"/>
      <c r="C282" s="1046"/>
      <c r="D282" s="1048"/>
      <c r="E282" s="1583"/>
      <c r="F282" s="1583"/>
      <c r="G282" s="1077">
        <f t="shared" si="4"/>
        <v>0</v>
      </c>
      <c r="H282" s="1042" t="str">
        <f>IF(C282="","",VLOOKUP(C282,Compte!$A$3:$B$346,2,0))</f>
        <v/>
      </c>
      <c r="I282" s="1043" t="str">
        <f>IF(D282="","",VLOOKUP(D282,Compte!$A$3:$B$346,2,0))</f>
        <v/>
      </c>
    </row>
    <row r="283" spans="1:9">
      <c r="A283" s="1206"/>
      <c r="B283" s="606" t="s">
        <v>960</v>
      </c>
      <c r="C283" s="1046">
        <v>6740</v>
      </c>
      <c r="D283" s="1048"/>
      <c r="E283" s="1068">
        <v>200</v>
      </c>
      <c r="F283" s="1044"/>
      <c r="G283" s="1077">
        <f t="shared" si="4"/>
        <v>200</v>
      </c>
      <c r="H283" s="1042" t="str">
        <f>IF(C283="","",VLOOKUP(C283,Compte!$A$3:$B$346,2,0))</f>
        <v>Autres charges financière et intérêts</v>
      </c>
      <c r="I283" s="1043" t="str">
        <f>IF(D283="","",VLOOKUP(D283,Compte!$A$3:$B$346,2,0))</f>
        <v/>
      </c>
    </row>
    <row r="284" spans="1:9">
      <c r="A284" s="1206"/>
      <c r="B284" s="606" t="s">
        <v>809</v>
      </c>
      <c r="C284" s="1046">
        <v>44522</v>
      </c>
      <c r="D284" s="1048"/>
      <c r="E284" s="1068">
        <v>50</v>
      </c>
      <c r="F284" s="1044"/>
      <c r="G284" s="1077">
        <f t="shared" si="4"/>
        <v>50</v>
      </c>
      <c r="H284" s="1042" t="str">
        <f>IF(C284="","",VLOOKUP(C284,Compte!$A$3:$B$346,2,0))</f>
        <v>T.V.A. récupérable sur achats a taux normal</v>
      </c>
      <c r="I284" s="1043" t="str">
        <f>IF(D284="","",VLOOKUP(D284,Compte!$A$3:$B$346,2,0))</f>
        <v/>
      </c>
    </row>
    <row r="285" spans="1:9">
      <c r="A285" s="1206"/>
      <c r="B285" s="606" t="s">
        <v>830</v>
      </c>
      <c r="C285" s="1046"/>
      <c r="D285" s="1048">
        <v>520</v>
      </c>
      <c r="E285" s="1068"/>
      <c r="F285" s="1044">
        <v>250</v>
      </c>
      <c r="G285" s="1077">
        <f t="shared" si="4"/>
        <v>250</v>
      </c>
      <c r="H285" s="1042" t="str">
        <f>IF(C285="","",VLOOKUP(C285,Compte!$A$3:$B$346,2,0))</f>
        <v/>
      </c>
      <c r="I285" s="1043" t="str">
        <f>IF(D285="","",VLOOKUP(D285,Compte!$A$3:$B$346,2,0))</f>
        <v>Banques cpte en monnaie nationale</v>
      </c>
    </row>
    <row r="286" spans="1:9">
      <c r="A286" s="1206"/>
      <c r="B286" s="606"/>
      <c r="C286" s="1046"/>
      <c r="D286" s="1048"/>
      <c r="E286" s="1068"/>
      <c r="F286" s="1044"/>
      <c r="G286" s="1077">
        <f t="shared" si="4"/>
        <v>0</v>
      </c>
      <c r="H286" s="1042" t="str">
        <f>IF(C286="","",VLOOKUP(C286,Compte!$A$3:$B$346,2,0))</f>
        <v/>
      </c>
      <c r="I286" s="1043" t="str">
        <f>IF(D286="","",VLOOKUP(D286,Compte!$A$3:$B$346,2,0))</f>
        <v/>
      </c>
    </row>
    <row r="287" spans="1:9">
      <c r="A287" s="1206"/>
      <c r="B287" s="606" t="s">
        <v>961</v>
      </c>
      <c r="C287" s="1046">
        <v>6013</v>
      </c>
      <c r="D287" s="1048"/>
      <c r="E287" s="1068">
        <v>650000</v>
      </c>
      <c r="F287" s="1044"/>
      <c r="G287" s="1077">
        <f t="shared" si="4"/>
        <v>650000</v>
      </c>
      <c r="H287" s="1042" t="str">
        <f>IF(C287="","",VLOOKUP(C287,Compte!$A$3:$B$346,2,0))</f>
        <v>Achats de marchandises hors UEMOA taux réduit</v>
      </c>
      <c r="I287" s="1043" t="str">
        <f>IF(D287="","",VLOOKUP(D287,Compte!$A$3:$B$346,2,0))</f>
        <v/>
      </c>
    </row>
    <row r="288" spans="1:9">
      <c r="A288" s="1206"/>
      <c r="B288" s="606" t="s">
        <v>945</v>
      </c>
      <c r="C288" s="1046"/>
      <c r="D288" s="1048">
        <v>4012</v>
      </c>
      <c r="E288" s="1068"/>
      <c r="F288" s="1044">
        <v>650000</v>
      </c>
      <c r="G288" s="1077">
        <f t="shared" si="4"/>
        <v>650000</v>
      </c>
      <c r="H288" s="1042" t="str">
        <f>IF(C288="","",VLOOKUP(C288,Compte!$A$3:$B$346,2,0))</f>
        <v/>
      </c>
      <c r="I288" s="1043" t="str">
        <f>IF(D288="","",VLOOKUP(D288,Compte!$A$3:$B$346,2,0))</f>
        <v>Fournisseurs étrangers</v>
      </c>
    </row>
    <row r="289" spans="1:9">
      <c r="A289" s="1206"/>
      <c r="B289" s="606" t="s">
        <v>962</v>
      </c>
      <c r="C289" s="1046">
        <v>4012</v>
      </c>
      <c r="D289" s="1048"/>
      <c r="E289" s="1068">
        <v>650000</v>
      </c>
      <c r="F289" s="1044"/>
      <c r="G289" s="1077">
        <f t="shared" si="4"/>
        <v>650000</v>
      </c>
      <c r="H289" s="1042" t="str">
        <f>IF(C289="","",VLOOKUP(C289,Compte!$A$3:$B$346,2,0))</f>
        <v>Fournisseurs étrangers</v>
      </c>
      <c r="I289" s="1043" t="str">
        <f>IF(D289="","",VLOOKUP(D289,Compte!$A$3:$B$346,2,0))</f>
        <v/>
      </c>
    </row>
    <row r="290" spans="1:9">
      <c r="A290" s="1206"/>
      <c r="B290" s="606" t="s">
        <v>830</v>
      </c>
      <c r="C290" s="1046"/>
      <c r="D290" s="1048">
        <v>520</v>
      </c>
      <c r="E290" s="1068"/>
      <c r="F290" s="1044">
        <v>649000</v>
      </c>
      <c r="G290" s="1077">
        <f t="shared" si="4"/>
        <v>649000</v>
      </c>
      <c r="H290" s="1042" t="str">
        <f>IF(C290="","",VLOOKUP(C290,Compte!$A$3:$B$346,2,0))</f>
        <v/>
      </c>
      <c r="I290" s="1043" t="str">
        <f>IF(D290="","",VLOOKUP(D290,Compte!$A$3:$B$346,2,0))</f>
        <v>Banques cpte en monnaie nationale</v>
      </c>
    </row>
    <row r="291" spans="1:9">
      <c r="A291" s="1206"/>
      <c r="B291" s="606" t="s">
        <v>615</v>
      </c>
      <c r="C291" s="1046"/>
      <c r="D291" s="1048">
        <v>776</v>
      </c>
      <c r="E291" s="1068"/>
      <c r="F291" s="1044">
        <v>1000</v>
      </c>
      <c r="G291" s="1077">
        <f t="shared" si="4"/>
        <v>1000</v>
      </c>
      <c r="H291" s="1042" t="str">
        <f>IF(C291="","",VLOOKUP(C291,Compte!$A$3:$B$346,2,0))</f>
        <v/>
      </c>
      <c r="I291" s="1043" t="str">
        <f>IF(D291="","",VLOOKUP(D291,Compte!$A$3:$B$346,2,0))</f>
        <v>Gains de change</v>
      </c>
    </row>
    <row r="292" spans="1:9">
      <c r="A292" s="1206"/>
      <c r="B292" s="606" t="s">
        <v>963</v>
      </c>
      <c r="C292" s="1046">
        <v>4012</v>
      </c>
      <c r="D292" s="1048"/>
      <c r="E292" s="1068">
        <v>650000</v>
      </c>
      <c r="F292" s="1044"/>
      <c r="G292" s="1077">
        <f t="shared" si="4"/>
        <v>650000</v>
      </c>
      <c r="H292" s="1042" t="str">
        <f>IF(C292="","",VLOOKUP(C292,Compte!$A$3:$B$346,2,0))</f>
        <v>Fournisseurs étrangers</v>
      </c>
      <c r="I292" s="1043" t="str">
        <f>IF(D292="","",VLOOKUP(D292,Compte!$A$3:$B$346,2,0))</f>
        <v/>
      </c>
    </row>
    <row r="293" spans="1:9">
      <c r="A293" s="1206"/>
      <c r="B293" s="606" t="s">
        <v>617</v>
      </c>
      <c r="C293" s="1046">
        <v>6760</v>
      </c>
      <c r="D293" s="1048"/>
      <c r="E293" s="1068">
        <v>1000</v>
      </c>
      <c r="F293" s="1044"/>
      <c r="G293" s="1077">
        <f t="shared" si="4"/>
        <v>1000</v>
      </c>
      <c r="H293" s="1042" t="str">
        <f>IF(C293="","",VLOOKUP(C293,Compte!$A$3:$B$346,2,0))</f>
        <v>Pertes de change</v>
      </c>
      <c r="I293" s="1043" t="str">
        <f>IF(D293="","",VLOOKUP(D293,Compte!$A$3:$B$346,2,0))</f>
        <v/>
      </c>
    </row>
    <row r="294" spans="1:9">
      <c r="A294" s="1206"/>
      <c r="B294" s="606" t="s">
        <v>830</v>
      </c>
      <c r="C294" s="1046"/>
      <c r="D294" s="1048">
        <v>520</v>
      </c>
      <c r="E294" s="1068"/>
      <c r="F294" s="1044">
        <v>651000</v>
      </c>
      <c r="G294" s="1077">
        <f t="shared" si="4"/>
        <v>651000</v>
      </c>
      <c r="H294" s="1042" t="str">
        <f>IF(C294="","",VLOOKUP(C294,Compte!$A$3:$B$346,2,0))</f>
        <v/>
      </c>
      <c r="I294" s="1043" t="str">
        <f>IF(D294="","",VLOOKUP(D294,Compte!$A$3:$B$346,2,0))</f>
        <v>Banques cpte en monnaie nationale</v>
      </c>
    </row>
    <row r="295" spans="1:9">
      <c r="A295" s="1206"/>
      <c r="B295" s="606"/>
      <c r="C295" s="1046"/>
      <c r="D295" s="1048"/>
      <c r="E295" s="1068"/>
      <c r="F295" s="1044"/>
      <c r="G295" s="1077">
        <f t="shared" si="4"/>
        <v>0</v>
      </c>
      <c r="H295" s="1042" t="str">
        <f>IF(C295="","",VLOOKUP(C295,Compte!$A$3:$B$346,2,0))</f>
        <v/>
      </c>
      <c r="I295" s="1043" t="str">
        <f>IF(D295="","",VLOOKUP(D295,Compte!$A$3:$B$346,2,0))</f>
        <v/>
      </c>
    </row>
    <row r="296" spans="1:9">
      <c r="A296" s="1206"/>
      <c r="B296" s="606" t="s">
        <v>964</v>
      </c>
      <c r="C296" s="1046">
        <v>260</v>
      </c>
      <c r="D296" s="1048"/>
      <c r="E296" s="1068">
        <v>1000</v>
      </c>
      <c r="F296" s="1044"/>
      <c r="G296" s="1077">
        <f t="shared" si="4"/>
        <v>1000</v>
      </c>
      <c r="H296" s="1042" t="str">
        <f>IF(C296="","",VLOOKUP(C296,Compte!$A$3:$B$346,2,0))</f>
        <v xml:space="preserve"> Participations</v>
      </c>
      <c r="I296" s="1043" t="str">
        <f>IF(D296="","",VLOOKUP(D296,Compte!$A$3:$B$346,2,0))</f>
        <v/>
      </c>
    </row>
    <row r="297" spans="1:9">
      <c r="A297" s="1206"/>
      <c r="B297" s="606" t="s">
        <v>1539</v>
      </c>
      <c r="C297" s="1047">
        <v>6740</v>
      </c>
      <c r="D297" s="1048"/>
      <c r="E297" s="1068">
        <v>200</v>
      </c>
      <c r="F297" s="1044"/>
      <c r="G297" s="1077">
        <f t="shared" si="4"/>
        <v>200</v>
      </c>
      <c r="H297" s="1042" t="str">
        <f>IF(C297="","",VLOOKUP(C297,Compte!$A$3:$B$346,2,0))</f>
        <v>Autres charges financière et intérêts</v>
      </c>
      <c r="I297" s="1043" t="str">
        <f>IF(D297="","",VLOOKUP(D297,Compte!$A$3:$B$346,2,0))</f>
        <v/>
      </c>
    </row>
    <row r="298" spans="1:9">
      <c r="A298" s="1206"/>
      <c r="B298" s="606" t="s">
        <v>830</v>
      </c>
      <c r="C298" s="1046"/>
      <c r="D298" s="1048">
        <v>520</v>
      </c>
      <c r="E298" s="1068"/>
      <c r="F298" s="1044">
        <v>1200</v>
      </c>
      <c r="G298" s="1077">
        <f t="shared" si="4"/>
        <v>1200</v>
      </c>
      <c r="H298" s="1042" t="str">
        <f>IF(C298="","",VLOOKUP(C298,Compte!$A$3:$B$346,2,0))</f>
        <v/>
      </c>
      <c r="I298" s="1043" t="str">
        <f>IF(D298="","",VLOOKUP(D298,Compte!$A$3:$B$346,2,0))</f>
        <v>Banques cpte en monnaie nationale</v>
      </c>
    </row>
    <row r="299" spans="1:9">
      <c r="A299" s="1206"/>
      <c r="B299" s="606" t="s">
        <v>965</v>
      </c>
      <c r="C299" s="1046">
        <v>520</v>
      </c>
      <c r="D299" s="1048"/>
      <c r="E299" s="1068">
        <v>900</v>
      </c>
      <c r="F299" s="1044"/>
      <c r="G299" s="1077">
        <f t="shared" si="4"/>
        <v>900</v>
      </c>
      <c r="H299" s="1042" t="str">
        <f>IF(C299="","",VLOOKUP(C299,Compte!$A$3:$B$346,2,0))</f>
        <v>Banques cpte en monnaie nationale</v>
      </c>
      <c r="I299" s="1043" t="str">
        <f>IF(D299="","",VLOOKUP(D299,Compte!$A$3:$B$346,2,0))</f>
        <v/>
      </c>
    </row>
    <row r="300" spans="1:9">
      <c r="A300" s="1206"/>
      <c r="B300" s="606" t="s">
        <v>833</v>
      </c>
      <c r="C300" s="1047">
        <v>813</v>
      </c>
      <c r="D300" s="1048"/>
      <c r="E300" s="1068">
        <v>100</v>
      </c>
      <c r="F300" s="1044"/>
      <c r="G300" s="1077">
        <f t="shared" si="4"/>
        <v>100</v>
      </c>
      <c r="H300" s="1042" t="str">
        <f>IF(C300="","",VLOOKUP(C300,Compte!$A$3:$B$346,2,0))</f>
        <v>Valeurs comptables cess. Immob. Finan</v>
      </c>
      <c r="I300" s="1043" t="str">
        <f>IF(D300="","",VLOOKUP(D300,Compte!$A$3:$B$346,2,0))</f>
        <v/>
      </c>
    </row>
    <row r="301" spans="1:9">
      <c r="A301" s="1206"/>
      <c r="B301" s="606" t="s">
        <v>1540</v>
      </c>
      <c r="C301" s="1046"/>
      <c r="D301" s="1048">
        <v>260</v>
      </c>
      <c r="E301" s="1068"/>
      <c r="F301" s="1044">
        <v>1000</v>
      </c>
      <c r="G301" s="1077">
        <f t="shared" si="4"/>
        <v>1000</v>
      </c>
      <c r="H301" s="1042" t="str">
        <f>IF(C301="","",VLOOKUP(C301,Compte!$A$3:$B$346,2,0))</f>
        <v/>
      </c>
      <c r="I301" s="1043" t="str">
        <f>IF(D301="","",VLOOKUP(D301,Compte!$A$3:$B$346,2,0))</f>
        <v xml:space="preserve"> Participations</v>
      </c>
    </row>
    <row r="302" spans="1:9">
      <c r="A302" s="1206"/>
      <c r="B302" s="606" t="s">
        <v>966</v>
      </c>
      <c r="C302" s="1046">
        <v>520</v>
      </c>
      <c r="D302" s="1048"/>
      <c r="E302" s="1068">
        <v>1100</v>
      </c>
      <c r="F302" s="1044"/>
      <c r="G302" s="1077">
        <f t="shared" si="4"/>
        <v>1100</v>
      </c>
      <c r="H302" s="1042" t="str">
        <f>IF(C302="","",VLOOKUP(C302,Compte!$A$3:$B$346,2,0))</f>
        <v>Banques cpte en monnaie nationale</v>
      </c>
      <c r="I302" s="1043" t="str">
        <f>IF(D302="","",VLOOKUP(D302,Compte!$A$3:$B$346,2,0))</f>
        <v/>
      </c>
    </row>
    <row r="303" spans="1:9">
      <c r="A303" s="1206"/>
      <c r="B303" s="606" t="s">
        <v>967</v>
      </c>
      <c r="C303" s="1046"/>
      <c r="D303" s="1048">
        <v>8230</v>
      </c>
      <c r="E303" s="1068"/>
      <c r="F303" s="1044">
        <v>100</v>
      </c>
      <c r="G303" s="1077">
        <f t="shared" si="4"/>
        <v>100</v>
      </c>
      <c r="H303" s="1042" t="str">
        <f>IF(C303="","",VLOOKUP(C303,Compte!$A$3:$B$346,2,0))</f>
        <v/>
      </c>
      <c r="I303" s="1043" t="str">
        <f>IF(D303="","",VLOOKUP(D303,Compte!$A$3:$B$346,2,0))</f>
        <v>Produit de cession sur les immob. Financ.</v>
      </c>
    </row>
    <row r="304" spans="1:9">
      <c r="A304" s="1206"/>
      <c r="B304" s="606" t="s">
        <v>1540</v>
      </c>
      <c r="C304" s="1046"/>
      <c r="D304" s="1048">
        <v>260</v>
      </c>
      <c r="E304" s="1068"/>
      <c r="F304" s="1044">
        <v>1000</v>
      </c>
      <c r="G304" s="1077">
        <f t="shared" si="4"/>
        <v>1000</v>
      </c>
      <c r="H304" s="1042" t="str">
        <f>IF(C304="","",VLOOKUP(C304,Compte!$A$3:$B$346,2,0))</f>
        <v/>
      </c>
      <c r="I304" s="1043" t="str">
        <f>IF(D304="","",VLOOKUP(D304,Compte!$A$3:$B$346,2,0))</f>
        <v xml:space="preserve"> Participations</v>
      </c>
    </row>
    <row r="305" spans="1:9">
      <c r="A305" s="1206"/>
      <c r="B305" s="606"/>
      <c r="C305" s="1046"/>
      <c r="D305" s="1048"/>
      <c r="E305" s="1068"/>
      <c r="F305" s="1044"/>
      <c r="G305" s="1077">
        <f t="shared" si="4"/>
        <v>0</v>
      </c>
      <c r="H305" s="1042" t="str">
        <f>IF(C305="","",VLOOKUP(C305,Compte!$A$3:$B$346,2,0))</f>
        <v/>
      </c>
      <c r="I305" s="1043" t="str">
        <f>IF(D305="","",VLOOKUP(D305,Compte!$A$3:$B$346,2,0))</f>
        <v/>
      </c>
    </row>
    <row r="306" spans="1:9">
      <c r="A306" s="1206"/>
      <c r="B306" s="606" t="s">
        <v>968</v>
      </c>
      <c r="C306" s="1046">
        <v>266</v>
      </c>
      <c r="D306" s="1048">
        <v>774</v>
      </c>
      <c r="E306" s="1068">
        <v>200</v>
      </c>
      <c r="F306" s="1044">
        <v>200</v>
      </c>
      <c r="G306" s="1077">
        <f t="shared" si="4"/>
        <v>200</v>
      </c>
      <c r="H306" s="1042" t="str">
        <f>IF(C306="","",VLOOKUP(C306,Compte!$A$3:$B$346,2,0))</f>
        <v xml:space="preserve"> Créances rattachées à des participations</v>
      </c>
      <c r="I306" s="1043" t="str">
        <f>IF(D306="","",VLOOKUP(D306,Compte!$A$3:$B$346,2,0))</f>
        <v>Revenus de titres de placement</v>
      </c>
    </row>
    <row r="307" spans="1:9">
      <c r="A307" s="1206"/>
      <c r="B307" s="606" t="s">
        <v>830</v>
      </c>
      <c r="C307" s="1046">
        <v>520</v>
      </c>
      <c r="D307" s="1048">
        <v>774</v>
      </c>
      <c r="E307" s="1068">
        <v>200</v>
      </c>
      <c r="F307" s="1044">
        <v>200</v>
      </c>
      <c r="G307" s="1077">
        <f t="shared" si="4"/>
        <v>200</v>
      </c>
      <c r="H307" s="1042" t="str">
        <f>IF(C307="","",VLOOKUP(C307,Compte!$A$3:$B$346,2,0))</f>
        <v>Banques cpte en monnaie nationale</v>
      </c>
      <c r="I307" s="1043" t="str">
        <f>IF(D307="","",VLOOKUP(D307,Compte!$A$3:$B$346,2,0))</f>
        <v>Revenus de titres de placement</v>
      </c>
    </row>
    <row r="308" spans="1:9">
      <c r="A308" s="1206"/>
      <c r="B308" s="606"/>
      <c r="C308" s="1046"/>
      <c r="D308" s="1048"/>
      <c r="E308" s="1068"/>
      <c r="F308" s="1044"/>
      <c r="G308" s="1077">
        <f t="shared" si="4"/>
        <v>0</v>
      </c>
      <c r="H308" s="1042" t="str">
        <f>IF(C308="","",VLOOKUP(C308,Compte!$A$3:$B$346,2,0))</f>
        <v/>
      </c>
      <c r="I308" s="1043" t="str">
        <f>IF(D308="","",VLOOKUP(D308,Compte!$A$3:$B$346,2,0))</f>
        <v/>
      </c>
    </row>
    <row r="309" spans="1:9">
      <c r="A309" s="1206"/>
      <c r="B309" s="606" t="s">
        <v>969</v>
      </c>
      <c r="C309" s="1046">
        <v>272</v>
      </c>
      <c r="D309" s="1048"/>
      <c r="E309" s="1068">
        <v>10000</v>
      </c>
      <c r="F309" s="1044"/>
      <c r="G309" s="1077">
        <f t="shared" si="4"/>
        <v>10000</v>
      </c>
      <c r="H309" s="1042" t="str">
        <f>IF(C309="","",VLOOKUP(C309,Compte!$A$3:$B$346,2,0))</f>
        <v>Titres immobilisés obligations</v>
      </c>
      <c r="I309" s="1043" t="str">
        <f>IF(D309="","",VLOOKUP(D309,Compte!$A$3:$B$346,2,0))</f>
        <v/>
      </c>
    </row>
    <row r="310" spans="1:9">
      <c r="A310" s="1206"/>
      <c r="B310" s="606" t="s">
        <v>835</v>
      </c>
      <c r="C310" s="1047">
        <v>6740</v>
      </c>
      <c r="D310" s="1048"/>
      <c r="E310" s="1068">
        <v>1000</v>
      </c>
      <c r="F310" s="1044"/>
      <c r="G310" s="1077">
        <f t="shared" si="4"/>
        <v>1000</v>
      </c>
      <c r="H310" s="1042" t="str">
        <f>IF(C310="","",VLOOKUP(C310,Compte!$A$3:$B$346,2,0))</f>
        <v>Autres charges financière et intérêts</v>
      </c>
      <c r="I310" s="1043" t="str">
        <f>IF(D310="","",VLOOKUP(D310,Compte!$A$3:$B$346,2,0))</f>
        <v/>
      </c>
    </row>
    <row r="311" spans="1:9">
      <c r="A311" s="1206"/>
      <c r="B311" s="606" t="s">
        <v>1541</v>
      </c>
      <c r="C311" s="1046">
        <v>44522</v>
      </c>
      <c r="D311" s="1048"/>
      <c r="E311" s="1068">
        <v>20</v>
      </c>
      <c r="F311" s="1044"/>
      <c r="G311" s="1077">
        <f t="shared" si="4"/>
        <v>20</v>
      </c>
      <c r="H311" s="1042" t="str">
        <f>IF(C311="","",VLOOKUP(C311,Compte!$A$3:$B$346,2,0))</f>
        <v>T.V.A. récupérable sur achats a taux normal</v>
      </c>
      <c r="I311" s="1043" t="str">
        <f>IF(D311="","",VLOOKUP(D311,Compte!$A$3:$B$346,2,0))</f>
        <v/>
      </c>
    </row>
    <row r="312" spans="1:9">
      <c r="A312" s="1206"/>
      <c r="B312" s="606" t="s">
        <v>830</v>
      </c>
      <c r="C312" s="1046"/>
      <c r="D312" s="1048">
        <v>520</v>
      </c>
      <c r="E312" s="1068"/>
      <c r="F312" s="1044">
        <v>11020</v>
      </c>
      <c r="G312" s="1077">
        <f t="shared" si="4"/>
        <v>11020</v>
      </c>
      <c r="H312" s="1042" t="str">
        <f>IF(C312="","",VLOOKUP(C312,Compte!$A$3:$B$346,2,0))</f>
        <v/>
      </c>
      <c r="I312" s="1043" t="str">
        <f>IF(D312="","",VLOOKUP(D312,Compte!$A$3:$B$346,2,0))</f>
        <v>Banques cpte en monnaie nationale</v>
      </c>
    </row>
    <row r="313" spans="1:9">
      <c r="A313" s="1206"/>
      <c r="B313" s="606"/>
      <c r="C313" s="1046"/>
      <c r="D313" s="1048"/>
      <c r="E313" s="1068"/>
      <c r="F313" s="1044"/>
      <c r="G313" s="1077">
        <f t="shared" si="4"/>
        <v>0</v>
      </c>
      <c r="H313" s="1042" t="str">
        <f>IF(C313="","",VLOOKUP(C313,Compte!$A$3:$B$346,2,0))</f>
        <v/>
      </c>
      <c r="I313" s="1043" t="str">
        <f>IF(D313="","",VLOOKUP(D313,Compte!$A$3:$B$346,2,0))</f>
        <v/>
      </c>
    </row>
    <row r="314" spans="1:9">
      <c r="A314" s="1206"/>
      <c r="B314" s="606" t="s">
        <v>970</v>
      </c>
      <c r="C314" s="1046">
        <v>271</v>
      </c>
      <c r="D314" s="1048"/>
      <c r="E314" s="1068">
        <v>200</v>
      </c>
      <c r="F314" s="1044"/>
      <c r="G314" s="1077">
        <f t="shared" si="4"/>
        <v>200</v>
      </c>
      <c r="H314" s="1042" t="str">
        <f>IF(C314="","",VLOOKUP(C314,Compte!$A$3:$B$346,2,0))</f>
        <v>Titres immobilisés actions</v>
      </c>
      <c r="I314" s="1043" t="str">
        <f>IF(D314="","",VLOOKUP(D314,Compte!$A$3:$B$346,2,0))</f>
        <v/>
      </c>
    </row>
    <row r="315" spans="1:9">
      <c r="A315" s="1206"/>
      <c r="B315" s="606" t="s">
        <v>835</v>
      </c>
      <c r="C315" s="1047">
        <v>6740</v>
      </c>
      <c r="D315" s="1048"/>
      <c r="E315" s="1068">
        <v>10</v>
      </c>
      <c r="F315" s="1044"/>
      <c r="G315" s="1077">
        <f t="shared" si="4"/>
        <v>10</v>
      </c>
      <c r="H315" s="1042" t="str">
        <f>IF(C315="","",VLOOKUP(C315,Compte!$A$3:$B$346,2,0))</f>
        <v>Autres charges financière et intérêts</v>
      </c>
      <c r="I315" s="1043" t="str">
        <f>IF(D315="","",VLOOKUP(D315,Compte!$A$3:$B$346,2,0))</f>
        <v/>
      </c>
    </row>
    <row r="316" spans="1:9">
      <c r="A316" s="1206"/>
      <c r="B316" s="606" t="s">
        <v>1541</v>
      </c>
      <c r="C316" s="1046">
        <v>44522</v>
      </c>
      <c r="D316" s="1048"/>
      <c r="E316" s="1068">
        <v>2</v>
      </c>
      <c r="F316" s="1044"/>
      <c r="G316" s="1077">
        <f t="shared" si="4"/>
        <v>2</v>
      </c>
      <c r="H316" s="1042" t="str">
        <f>IF(C316="","",VLOOKUP(C316,Compte!$A$3:$B$346,2,0))</f>
        <v>T.V.A. récupérable sur achats a taux normal</v>
      </c>
      <c r="I316" s="1043" t="str">
        <f>IF(D316="","",VLOOKUP(D316,Compte!$A$3:$B$346,2,0))</f>
        <v/>
      </c>
    </row>
    <row r="317" spans="1:9">
      <c r="A317" s="1206"/>
      <c r="B317" s="606" t="s">
        <v>830</v>
      </c>
      <c r="C317" s="1046"/>
      <c r="D317" s="1048">
        <v>520</v>
      </c>
      <c r="E317" s="1068"/>
      <c r="F317" s="1044">
        <v>212</v>
      </c>
      <c r="G317" s="1077">
        <f t="shared" si="4"/>
        <v>212</v>
      </c>
      <c r="H317" s="1042" t="str">
        <f>IF(C317="","",VLOOKUP(C317,Compte!$A$3:$B$346,2,0))</f>
        <v/>
      </c>
      <c r="I317" s="1043" t="str">
        <f>IF(D317="","",VLOOKUP(D317,Compte!$A$3:$B$346,2,0))</f>
        <v>Banques cpte en monnaie nationale</v>
      </c>
    </row>
    <row r="318" spans="1:9">
      <c r="A318" s="1206"/>
      <c r="B318" s="606" t="s">
        <v>971</v>
      </c>
      <c r="C318" s="1046">
        <v>520</v>
      </c>
      <c r="D318" s="1048"/>
      <c r="E318" s="1068">
        <v>300</v>
      </c>
      <c r="F318" s="1044"/>
      <c r="G318" s="1077">
        <f t="shared" si="4"/>
        <v>300</v>
      </c>
      <c r="H318" s="1042" t="str">
        <f>IF(C318="","",VLOOKUP(C318,Compte!$A$3:$B$346,2,0))</f>
        <v>Banques cpte en monnaie nationale</v>
      </c>
      <c r="I318" s="1043" t="str">
        <f>IF(D318="","",VLOOKUP(D318,Compte!$A$3:$B$346,2,0))</f>
        <v/>
      </c>
    </row>
    <row r="319" spans="1:9">
      <c r="A319" s="1206"/>
      <c r="B319" s="606" t="s">
        <v>972</v>
      </c>
      <c r="C319" s="1047">
        <v>6740</v>
      </c>
      <c r="D319" s="1048"/>
      <c r="E319" s="1068">
        <v>20</v>
      </c>
      <c r="F319" s="1044"/>
      <c r="G319" s="1077">
        <f t="shared" si="4"/>
        <v>20</v>
      </c>
      <c r="H319" s="1042" t="str">
        <f>IF(C319="","",VLOOKUP(C319,Compte!$A$3:$B$346,2,0))</f>
        <v>Autres charges financière et intérêts</v>
      </c>
      <c r="I319" s="1043" t="str">
        <f>IF(D319="","",VLOOKUP(D319,Compte!$A$3:$B$346,2,0))</f>
        <v/>
      </c>
    </row>
    <row r="320" spans="1:9">
      <c r="A320" s="1206"/>
      <c r="B320" s="606" t="s">
        <v>838</v>
      </c>
      <c r="C320" s="1046">
        <v>44312</v>
      </c>
      <c r="D320" s="1048"/>
      <c r="E320" s="1068">
        <v>10</v>
      </c>
      <c r="F320" s="1044"/>
      <c r="G320" s="1077">
        <f t="shared" si="4"/>
        <v>10</v>
      </c>
      <c r="H320" s="1042" t="str">
        <f>IF(C320="","",VLOOKUP(C320,Compte!$A$3:$B$346,2,0))</f>
        <v>T.V.A. facturée sur ventes à taux normal</v>
      </c>
      <c r="I320" s="1043" t="str">
        <f>IF(D320="","",VLOOKUP(D320,Compte!$A$3:$B$346,2,0))</f>
        <v/>
      </c>
    </row>
    <row r="321" spans="1:9">
      <c r="A321" s="1206"/>
      <c r="B321" s="606" t="s">
        <v>834</v>
      </c>
      <c r="C321" s="1046"/>
      <c r="D321" s="1048">
        <v>8230</v>
      </c>
      <c r="E321" s="1068"/>
      <c r="F321" s="1044">
        <v>330</v>
      </c>
      <c r="G321" s="1077">
        <f t="shared" si="4"/>
        <v>330</v>
      </c>
      <c r="H321" s="1042" t="str">
        <f>IF(C321="","",VLOOKUP(C321,Compte!$A$3:$B$346,2,0))</f>
        <v/>
      </c>
      <c r="I321" s="1043" t="str">
        <f>IF(D321="","",VLOOKUP(D321,Compte!$A$3:$B$346,2,0))</f>
        <v>Produit de cession sur les immob. Financ.</v>
      </c>
    </row>
    <row r="322" spans="1:9">
      <c r="A322" s="1206"/>
      <c r="B322" s="606" t="s">
        <v>973</v>
      </c>
      <c r="C322" s="1046">
        <v>813</v>
      </c>
      <c r="D322" s="1048">
        <v>271</v>
      </c>
      <c r="E322" s="1068">
        <v>200</v>
      </c>
      <c r="F322" s="1044">
        <v>200</v>
      </c>
      <c r="G322" s="1077">
        <f t="shared" si="4"/>
        <v>200</v>
      </c>
      <c r="H322" s="1042" t="str">
        <f>IF(C322="","",VLOOKUP(C322,Compte!$A$3:$B$346,2,0))</f>
        <v>Valeurs comptables cess. Immob. Finan</v>
      </c>
      <c r="I322" s="1043" t="str">
        <f>IF(D322="","",VLOOKUP(D322,Compte!$A$3:$B$346,2,0))</f>
        <v>Titres immobilisés actions</v>
      </c>
    </row>
    <row r="323" spans="1:9">
      <c r="A323" s="1206"/>
      <c r="B323" s="606"/>
      <c r="C323" s="1046"/>
      <c r="D323" s="1048"/>
      <c r="E323" s="1068"/>
      <c r="F323" s="1044"/>
      <c r="G323" s="1077">
        <f t="shared" si="4"/>
        <v>0</v>
      </c>
      <c r="H323" s="1042" t="str">
        <f>IF(C323="","",VLOOKUP(C323,Compte!$A$3:$B$346,2,0))</f>
        <v/>
      </c>
      <c r="I323" s="1043" t="str">
        <f>IF(D323="","",VLOOKUP(D323,Compte!$A$3:$B$346,2,0))</f>
        <v/>
      </c>
    </row>
    <row r="324" spans="1:9">
      <c r="A324" s="1206"/>
      <c r="B324" s="606" t="s">
        <v>839</v>
      </c>
      <c r="C324" s="1046">
        <v>520</v>
      </c>
      <c r="D324" s="1048">
        <v>774</v>
      </c>
      <c r="E324" s="1068">
        <v>1000</v>
      </c>
      <c r="F324" s="1044">
        <v>1000</v>
      </c>
      <c r="G324" s="1077">
        <f t="shared" si="4"/>
        <v>1000</v>
      </c>
      <c r="H324" s="1042" t="str">
        <f>IF(C324="","",VLOOKUP(C324,Compte!$A$3:$B$346,2,0))</f>
        <v>Banques cpte en monnaie nationale</v>
      </c>
      <c r="I324" s="1043" t="str">
        <f>IF(D324="","",VLOOKUP(D324,Compte!$A$3:$B$346,2,0))</f>
        <v>Revenus de titres de placement</v>
      </c>
    </row>
    <row r="325" spans="1:9">
      <c r="A325" s="1206"/>
      <c r="B325" s="606" t="s">
        <v>840</v>
      </c>
      <c r="C325" s="1046">
        <v>520</v>
      </c>
      <c r="D325" s="1048">
        <v>774</v>
      </c>
      <c r="E325" s="1068">
        <v>1000</v>
      </c>
      <c r="F325" s="1044">
        <v>1000</v>
      </c>
      <c r="G325" s="1077">
        <f t="shared" si="4"/>
        <v>1000</v>
      </c>
      <c r="H325" s="1042" t="str">
        <f>IF(C325="","",VLOOKUP(C325,Compte!$A$3:$B$346,2,0))</f>
        <v>Banques cpte en monnaie nationale</v>
      </c>
      <c r="I325" s="1043" t="str">
        <f>IF(D325="","",VLOOKUP(D325,Compte!$A$3:$B$346,2,0))</f>
        <v>Revenus de titres de placement</v>
      </c>
    </row>
    <row r="326" spans="1:9">
      <c r="A326" s="1206"/>
      <c r="B326" s="606"/>
      <c r="C326" s="1046"/>
      <c r="D326" s="1048"/>
      <c r="E326" s="1068"/>
      <c r="F326" s="1044"/>
      <c r="G326" s="1077">
        <f t="shared" si="4"/>
        <v>0</v>
      </c>
      <c r="H326" s="1042" t="str">
        <f>IF(C326="","",VLOOKUP(C326,Compte!$A$3:$B$346,2,0))</f>
        <v/>
      </c>
      <c r="I326" s="1043" t="str">
        <f>IF(D326="","",VLOOKUP(D326,Compte!$A$3:$B$346,2,0))</f>
        <v/>
      </c>
    </row>
    <row r="327" spans="1:9">
      <c r="A327" s="1206"/>
      <c r="B327" s="606" t="s">
        <v>974</v>
      </c>
      <c r="C327" s="1046">
        <v>501</v>
      </c>
      <c r="D327" s="1048"/>
      <c r="E327" s="1068">
        <v>5000</v>
      </c>
      <c r="F327" s="1044"/>
      <c r="G327" s="1077">
        <f t="shared" si="4"/>
        <v>5000</v>
      </c>
      <c r="H327" s="1042" t="str">
        <f>IF(C327="","",VLOOKUP(C327,Compte!$A$3:$B$346,2,0))</f>
        <v>VMP actions</v>
      </c>
      <c r="I327" s="1043" t="str">
        <f>IF(D327="","",VLOOKUP(D327,Compte!$A$3:$B$346,2,0))</f>
        <v/>
      </c>
    </row>
    <row r="328" spans="1:9">
      <c r="A328" s="1206"/>
      <c r="B328" s="606" t="s">
        <v>841</v>
      </c>
      <c r="C328" s="1047">
        <v>6740</v>
      </c>
      <c r="D328" s="1048"/>
      <c r="E328" s="1068">
        <v>20</v>
      </c>
      <c r="F328" s="1044"/>
      <c r="G328" s="1077">
        <f t="shared" ref="G328:G391" si="5">IF(C328="",F328,E328)</f>
        <v>20</v>
      </c>
      <c r="H328" s="1042" t="str">
        <f>IF(C328="","",VLOOKUP(C328,Compte!$A$3:$B$346,2,0))</f>
        <v>Autres charges financière et intérêts</v>
      </c>
      <c r="I328" s="1043" t="str">
        <f>IF(D328="","",VLOOKUP(D328,Compte!$A$3:$B$346,2,0))</f>
        <v/>
      </c>
    </row>
    <row r="329" spans="1:9">
      <c r="A329" s="1206"/>
      <c r="B329" s="606" t="s">
        <v>842</v>
      </c>
      <c r="C329" s="1046">
        <v>44522</v>
      </c>
      <c r="D329" s="1048"/>
      <c r="E329" s="1068">
        <v>10</v>
      </c>
      <c r="F329" s="1044"/>
      <c r="G329" s="1077">
        <f t="shared" si="5"/>
        <v>10</v>
      </c>
      <c r="H329" s="1042" t="str">
        <f>IF(C329="","",VLOOKUP(C329,Compte!$A$3:$B$346,2,0))</f>
        <v>T.V.A. récupérable sur achats a taux normal</v>
      </c>
      <c r="I329" s="1043" t="str">
        <f>IF(D329="","",VLOOKUP(D329,Compte!$A$3:$B$346,2,0))</f>
        <v/>
      </c>
    </row>
    <row r="330" spans="1:9">
      <c r="A330" s="1206"/>
      <c r="B330" s="606" t="s">
        <v>830</v>
      </c>
      <c r="C330" s="1046"/>
      <c r="D330" s="1048">
        <v>520</v>
      </c>
      <c r="E330" s="1068"/>
      <c r="F330" s="1044">
        <v>5030</v>
      </c>
      <c r="G330" s="1077">
        <f t="shared" si="5"/>
        <v>5030</v>
      </c>
      <c r="H330" s="1042" t="str">
        <f>IF(C330="","",VLOOKUP(C330,Compte!$A$3:$B$346,2,0))</f>
        <v/>
      </c>
      <c r="I330" s="1043" t="str">
        <f>IF(D330="","",VLOOKUP(D330,Compte!$A$3:$B$346,2,0))</f>
        <v>Banques cpte en monnaie nationale</v>
      </c>
    </row>
    <row r="331" spans="1:9">
      <c r="A331" s="1206"/>
      <c r="B331" s="606"/>
      <c r="C331" s="1046"/>
      <c r="D331" s="1048"/>
      <c r="E331" s="1068"/>
      <c r="F331" s="1044"/>
      <c r="G331" s="1077">
        <f t="shared" si="5"/>
        <v>0</v>
      </c>
      <c r="H331" s="1042" t="str">
        <f>IF(C331="","",VLOOKUP(C331,Compte!$A$3:$B$346,2,0))</f>
        <v/>
      </c>
      <c r="I331" s="1043" t="str">
        <f>IF(D331="","",VLOOKUP(D331,Compte!$A$3:$B$346,2,0))</f>
        <v/>
      </c>
    </row>
    <row r="332" spans="1:9">
      <c r="A332" s="1206"/>
      <c r="B332" s="606" t="s">
        <v>975</v>
      </c>
      <c r="C332" s="1046">
        <v>506</v>
      </c>
      <c r="D332" s="1048"/>
      <c r="E332" s="1068">
        <v>10000</v>
      </c>
      <c r="F332" s="1044"/>
      <c r="G332" s="1077">
        <f t="shared" si="5"/>
        <v>10000</v>
      </c>
      <c r="H332" s="1042" t="str">
        <f>IF(C332="","",VLOOKUP(C332,Compte!$A$3:$B$346,2,0))</f>
        <v xml:space="preserve">VMP Obligations </v>
      </c>
      <c r="I332" s="1043" t="str">
        <f>IF(D332="","",VLOOKUP(D332,Compte!$A$3:$B$346,2,0))</f>
        <v/>
      </c>
    </row>
    <row r="333" spans="1:9">
      <c r="A333" s="1206"/>
      <c r="B333" s="606" t="s">
        <v>837</v>
      </c>
      <c r="C333" s="1047">
        <v>6740</v>
      </c>
      <c r="D333" s="1048"/>
      <c r="E333" s="1068">
        <v>200</v>
      </c>
      <c r="F333" s="1044"/>
      <c r="G333" s="1077">
        <f t="shared" si="5"/>
        <v>200</v>
      </c>
      <c r="H333" s="1042" t="str">
        <f>IF(C333="","",VLOOKUP(C333,Compte!$A$3:$B$346,2,0))</f>
        <v>Autres charges financière et intérêts</v>
      </c>
      <c r="I333" s="1043" t="str">
        <f>IF(D333="","",VLOOKUP(D333,Compte!$A$3:$B$346,2,0))</f>
        <v/>
      </c>
    </row>
    <row r="334" spans="1:9">
      <c r="A334" s="1206"/>
      <c r="B334" s="606" t="s">
        <v>842</v>
      </c>
      <c r="C334" s="1046">
        <v>44522</v>
      </c>
      <c r="D334" s="1048"/>
      <c r="E334" s="1068">
        <v>100</v>
      </c>
      <c r="F334" s="1044"/>
      <c r="G334" s="1077">
        <f t="shared" si="5"/>
        <v>100</v>
      </c>
      <c r="H334" s="1042" t="str">
        <f>IF(C334="","",VLOOKUP(C334,Compte!$A$3:$B$346,2,0))</f>
        <v>T.V.A. récupérable sur achats a taux normal</v>
      </c>
      <c r="I334" s="1043" t="str">
        <f>IF(D334="","",VLOOKUP(D334,Compte!$A$3:$B$346,2,0))</f>
        <v/>
      </c>
    </row>
    <row r="335" spans="1:9">
      <c r="A335" s="1206"/>
      <c r="B335" s="606" t="s">
        <v>830</v>
      </c>
      <c r="C335" s="1046"/>
      <c r="D335" s="1048">
        <v>520</v>
      </c>
      <c r="E335" s="1068"/>
      <c r="F335" s="1044">
        <v>10300</v>
      </c>
      <c r="G335" s="1077">
        <f t="shared" si="5"/>
        <v>10300</v>
      </c>
      <c r="H335" s="1042" t="str">
        <f>IF(C335="","",VLOOKUP(C335,Compte!$A$3:$B$346,2,0))</f>
        <v/>
      </c>
      <c r="I335" s="1043" t="str">
        <f>IF(D335="","",VLOOKUP(D335,Compte!$A$3:$B$346,2,0))</f>
        <v>Banques cpte en monnaie nationale</v>
      </c>
    </row>
    <row r="336" spans="1:9">
      <c r="A336" s="1206"/>
      <c r="B336" s="606"/>
      <c r="C336" s="1046"/>
      <c r="D336" s="1048"/>
      <c r="E336" s="1583"/>
      <c r="F336" s="1583"/>
      <c r="G336" s="1077">
        <f t="shared" si="5"/>
        <v>0</v>
      </c>
      <c r="H336" s="1042" t="str">
        <f>IF(C336="","",VLOOKUP(C336,Compte!$A$3:$B$346,2,0))</f>
        <v/>
      </c>
      <c r="I336" s="1043" t="str">
        <f>IF(D336="","",VLOOKUP(D336,Compte!$A$3:$B$346,2,0))</f>
        <v/>
      </c>
    </row>
    <row r="337" spans="1:9">
      <c r="A337" s="1206"/>
      <c r="B337" s="606" t="s">
        <v>976</v>
      </c>
      <c r="C337" s="1046">
        <v>520</v>
      </c>
      <c r="D337" s="1050"/>
      <c r="E337" s="1068">
        <v>3100</v>
      </c>
      <c r="F337" s="1044"/>
      <c r="G337" s="1077">
        <f t="shared" si="5"/>
        <v>3100</v>
      </c>
      <c r="H337" s="1042" t="str">
        <f>IF(C337="","",VLOOKUP(C337,Compte!$A$3:$B$346,2,0))</f>
        <v>Banques cpte en monnaie nationale</v>
      </c>
      <c r="I337" s="1043" t="str">
        <f>IF(D337="","",VLOOKUP(D337,Compte!$A$3:$B$346,2,0))</f>
        <v/>
      </c>
    </row>
    <row r="338" spans="1:9">
      <c r="A338" s="1206"/>
      <c r="B338" s="606" t="s">
        <v>843</v>
      </c>
      <c r="C338" s="1046"/>
      <c r="D338" s="1048">
        <v>777</v>
      </c>
      <c r="E338" s="1068"/>
      <c r="F338" s="1044">
        <v>100</v>
      </c>
      <c r="G338" s="1077">
        <f t="shared" si="5"/>
        <v>100</v>
      </c>
      <c r="H338" s="1042" t="str">
        <f>IF(C338="","",VLOOKUP(C338,Compte!$A$3:$B$346,2,0))</f>
        <v/>
      </c>
      <c r="I338" s="1043" t="str">
        <f>IF(D338="","",VLOOKUP(D338,Compte!$A$3:$B$346,2,0))</f>
        <v>Gains Cessions titres placement</v>
      </c>
    </row>
    <row r="339" spans="1:9">
      <c r="A339" s="1206"/>
      <c r="B339" s="606" t="s">
        <v>977</v>
      </c>
      <c r="C339" s="1046"/>
      <c r="D339" s="1048">
        <v>501</v>
      </c>
      <c r="E339" s="1068"/>
      <c r="F339" s="1044">
        <v>3000</v>
      </c>
      <c r="G339" s="1077">
        <f t="shared" si="5"/>
        <v>3000</v>
      </c>
      <c r="H339" s="1042" t="str">
        <f>IF(C339="","",VLOOKUP(C339,Compte!$A$3:$B$346,2,0))</f>
        <v/>
      </c>
      <c r="I339" s="1043" t="str">
        <f>IF(D339="","",VLOOKUP(D339,Compte!$A$3:$B$346,2,0))</f>
        <v>VMP actions</v>
      </c>
    </row>
    <row r="340" spans="1:9">
      <c r="A340" s="1206"/>
      <c r="B340" s="606" t="s">
        <v>978</v>
      </c>
      <c r="C340" s="1046">
        <v>520</v>
      </c>
      <c r="D340" s="1050"/>
      <c r="E340" s="1068">
        <v>4800</v>
      </c>
      <c r="F340" s="1044"/>
      <c r="G340" s="1077">
        <f t="shared" si="5"/>
        <v>4800</v>
      </c>
      <c r="H340" s="1042" t="str">
        <f>IF(C340="","",VLOOKUP(C340,Compte!$A$3:$B$346,2,0))</f>
        <v>Banques cpte en monnaie nationale</v>
      </c>
      <c r="I340" s="1043" t="str">
        <f>IF(D340="","",VLOOKUP(D340,Compte!$A$3:$B$346,2,0))</f>
        <v/>
      </c>
    </row>
    <row r="341" spans="1:9">
      <c r="A341" s="1206"/>
      <c r="B341" s="606" t="s">
        <v>844</v>
      </c>
      <c r="C341" s="1046">
        <v>6770</v>
      </c>
      <c r="D341" s="1048"/>
      <c r="E341" s="1068">
        <v>200</v>
      </c>
      <c r="F341" s="1044"/>
      <c r="G341" s="1077">
        <f t="shared" si="5"/>
        <v>200</v>
      </c>
      <c r="H341" s="1042" t="str">
        <f>IF(C341="","",VLOOKUP(C341,Compte!$A$3:$B$346,2,0))</f>
        <v>Pertes sur cessions de titres placement</v>
      </c>
      <c r="I341" s="1043" t="str">
        <f>IF(D341="","",VLOOKUP(D341,Compte!$A$3:$B$346,2,0))</f>
        <v/>
      </c>
    </row>
    <row r="342" spans="1:9">
      <c r="A342" s="1206"/>
      <c r="B342" s="606" t="s">
        <v>1542</v>
      </c>
      <c r="C342" s="1046"/>
      <c r="D342" s="1048">
        <v>506</v>
      </c>
      <c r="E342" s="1068"/>
      <c r="F342" s="1044">
        <v>5000</v>
      </c>
      <c r="G342" s="1077">
        <f t="shared" si="5"/>
        <v>5000</v>
      </c>
      <c r="H342" s="1042" t="str">
        <f>IF(C342="","",VLOOKUP(C342,Compte!$A$3:$B$346,2,0))</f>
        <v/>
      </c>
      <c r="I342" s="1043" t="str">
        <f>IF(D342="","",VLOOKUP(D342,Compte!$A$3:$B$346,2,0))</f>
        <v xml:space="preserve">VMP Obligations </v>
      </c>
    </row>
    <row r="343" spans="1:9">
      <c r="A343" s="1206"/>
      <c r="B343" s="606"/>
      <c r="C343" s="1046"/>
      <c r="D343" s="1048"/>
      <c r="E343" s="1068"/>
      <c r="F343" s="1044"/>
      <c r="G343" s="1077">
        <f t="shared" si="5"/>
        <v>0</v>
      </c>
      <c r="H343" s="1042" t="str">
        <f>IF(C343="","",VLOOKUP(C343,Compte!$A$3:$B$346,2,0))</f>
        <v/>
      </c>
      <c r="I343" s="1043" t="str">
        <f>IF(D343="","",VLOOKUP(D343,Compte!$A$3:$B$346,2,0))</f>
        <v/>
      </c>
    </row>
    <row r="344" spans="1:9">
      <c r="A344" s="1206"/>
      <c r="B344" s="606" t="s">
        <v>845</v>
      </c>
      <c r="C344" s="1046">
        <v>520</v>
      </c>
      <c r="D344" s="1048">
        <v>777</v>
      </c>
      <c r="E344" s="1068">
        <v>20000</v>
      </c>
      <c r="F344" s="1044">
        <v>20000</v>
      </c>
      <c r="G344" s="1077">
        <f t="shared" si="5"/>
        <v>20000</v>
      </c>
      <c r="H344" s="1042" t="str">
        <f>IF(C344="","",VLOOKUP(C344,Compte!$A$3:$B$346,2,0))</f>
        <v>Banques cpte en monnaie nationale</v>
      </c>
      <c r="I344" s="1043" t="str">
        <f>IF(D344="","",VLOOKUP(D344,Compte!$A$3:$B$346,2,0))</f>
        <v>Gains Cessions titres placement</v>
      </c>
    </row>
    <row r="345" spans="1:9">
      <c r="A345" s="1206"/>
      <c r="B345" s="606" t="s">
        <v>1543</v>
      </c>
      <c r="C345" s="1046">
        <v>520</v>
      </c>
      <c r="D345" s="1048">
        <v>777</v>
      </c>
      <c r="E345" s="1068">
        <v>6000</v>
      </c>
      <c r="F345" s="1044">
        <v>6000</v>
      </c>
      <c r="G345" s="1077">
        <f t="shared" si="5"/>
        <v>6000</v>
      </c>
      <c r="H345" s="1042" t="str">
        <f>IF(C345="","",VLOOKUP(C345,Compte!$A$3:$B$346,2,0))</f>
        <v>Banques cpte en monnaie nationale</v>
      </c>
      <c r="I345" s="1043" t="str">
        <f>IF(D345="","",VLOOKUP(D345,Compte!$A$3:$B$346,2,0))</f>
        <v>Gains Cessions titres placement</v>
      </c>
    </row>
    <row r="346" spans="1:9">
      <c r="A346" s="1206"/>
      <c r="B346" s="606"/>
      <c r="C346" s="1046"/>
      <c r="D346" s="1048"/>
      <c r="E346" s="1068"/>
      <c r="F346" s="1044"/>
      <c r="G346" s="1077">
        <f t="shared" si="5"/>
        <v>0</v>
      </c>
      <c r="H346" s="1042" t="str">
        <f>IF(C346="","",VLOOKUP(C346,Compte!$A$3:$B$346,2,0))</f>
        <v/>
      </c>
      <c r="I346" s="1043" t="str">
        <f>IF(D346="","",VLOOKUP(D346,Compte!$A$3:$B$346,2,0))</f>
        <v/>
      </c>
    </row>
    <row r="347" spans="1:9">
      <c r="A347" s="1206"/>
      <c r="B347" s="606" t="s">
        <v>979</v>
      </c>
      <c r="C347" s="1046">
        <v>4091</v>
      </c>
      <c r="D347" s="1048">
        <v>520</v>
      </c>
      <c r="E347" s="1068">
        <v>5000</v>
      </c>
      <c r="F347" s="1044">
        <v>5000</v>
      </c>
      <c r="G347" s="1077">
        <f t="shared" si="5"/>
        <v>5000</v>
      </c>
      <c r="H347" s="1042" t="str">
        <f>IF(C347="","",VLOOKUP(C347,Compte!$A$3:$B$346,2,0))</f>
        <v>Fournisseurs avances et acomptes versés</v>
      </c>
      <c r="I347" s="1043" t="str">
        <f>IF(D347="","",VLOOKUP(D347,Compte!$A$3:$B$346,2,0))</f>
        <v>Banques cpte en monnaie nationale</v>
      </c>
    </row>
    <row r="348" spans="1:9">
      <c r="A348" s="1206"/>
      <c r="B348" s="606" t="s">
        <v>980</v>
      </c>
      <c r="C348" s="1046">
        <v>241</v>
      </c>
      <c r="D348" s="1048"/>
      <c r="E348" s="1068">
        <v>250000</v>
      </c>
      <c r="F348" s="1044"/>
      <c r="G348" s="1077">
        <f t="shared" si="5"/>
        <v>250000</v>
      </c>
      <c r="H348" s="1042" t="str">
        <f>IF(C348="","",VLOOKUP(C348,Compte!$A$3:$B$346,2,0))</f>
        <v>Matériel, outillage industriel et commercial</v>
      </c>
      <c r="I348" s="1043" t="str">
        <f>IF(D348="","",VLOOKUP(D348,Compte!$A$3:$B$346,2,0))</f>
        <v/>
      </c>
    </row>
    <row r="349" spans="1:9">
      <c r="A349" s="1206"/>
      <c r="B349" s="606" t="s">
        <v>1544</v>
      </c>
      <c r="C349" s="1046">
        <v>44512</v>
      </c>
      <c r="D349" s="1048"/>
      <c r="E349" s="1068">
        <v>20000</v>
      </c>
      <c r="F349" s="1044"/>
      <c r="G349" s="1077">
        <f t="shared" si="5"/>
        <v>20000</v>
      </c>
      <c r="H349" s="1042" t="str">
        <f>IF(C349="","",VLOOKUP(C349,Compte!$A$3:$B$346,2,0))</f>
        <v>T.V.A. récupérable sur immobilisations à taux normal</v>
      </c>
      <c r="I349" s="1043" t="str">
        <f>IF(D349="","",VLOOKUP(D349,Compte!$A$3:$B$346,2,0))</f>
        <v/>
      </c>
    </row>
    <row r="350" spans="1:9">
      <c r="A350" s="1206"/>
      <c r="B350" s="606" t="s">
        <v>979</v>
      </c>
      <c r="C350" s="1046"/>
      <c r="D350" s="1048">
        <v>4091</v>
      </c>
      <c r="E350" s="1068"/>
      <c r="F350" s="1044">
        <v>5000</v>
      </c>
      <c r="G350" s="1077">
        <f t="shared" si="5"/>
        <v>5000</v>
      </c>
      <c r="H350" s="1042" t="str">
        <f>IF(C350="","",VLOOKUP(C350,Compte!$A$3:$B$346,2,0))</f>
        <v/>
      </c>
      <c r="I350" s="1043" t="str">
        <f>IF(D350="","",VLOOKUP(D350,Compte!$A$3:$B$346,2,0))</f>
        <v>Fournisseurs avances et acomptes versés</v>
      </c>
    </row>
    <row r="351" spans="1:9">
      <c r="A351" s="1206"/>
      <c r="B351" s="606" t="s">
        <v>825</v>
      </c>
      <c r="C351" s="1046"/>
      <c r="D351" s="1048">
        <v>4011</v>
      </c>
      <c r="E351" s="1068"/>
      <c r="F351" s="1044">
        <v>265000</v>
      </c>
      <c r="G351" s="1077">
        <f t="shared" si="5"/>
        <v>265000</v>
      </c>
      <c r="H351" s="1042" t="str">
        <f>IF(C351="","",VLOOKUP(C351,Compte!$A$3:$B$346,2,0))</f>
        <v/>
      </c>
      <c r="I351" s="1043" t="str">
        <f>IF(D351="","",VLOOKUP(D351,Compte!$A$3:$B$346,2,0))</f>
        <v>Fournisseurs</v>
      </c>
    </row>
    <row r="352" spans="1:9">
      <c r="A352" s="1206"/>
      <c r="B352" s="606"/>
      <c r="C352" s="1046"/>
      <c r="D352" s="1048"/>
      <c r="E352" s="1068"/>
      <c r="F352" s="1044"/>
      <c r="G352" s="1077">
        <f t="shared" si="5"/>
        <v>0</v>
      </c>
      <c r="H352" s="1042" t="str">
        <f>IF(C352="","",VLOOKUP(C352,Compte!$A$3:$B$346,2,0))</f>
        <v/>
      </c>
      <c r="I352" s="1043" t="str">
        <f>IF(D352="","",VLOOKUP(D352,Compte!$A$3:$B$346,2,0))</f>
        <v/>
      </c>
    </row>
    <row r="353" spans="1:9">
      <c r="A353" s="1206"/>
      <c r="B353" s="606" t="s">
        <v>1545</v>
      </c>
      <c r="C353" s="1046">
        <v>232</v>
      </c>
      <c r="D353" s="1048"/>
      <c r="E353" s="1068">
        <v>20000</v>
      </c>
      <c r="F353" s="1044"/>
      <c r="G353" s="1077">
        <f t="shared" si="5"/>
        <v>20000</v>
      </c>
      <c r="H353" s="1042" t="str">
        <f>IF(C353="","",VLOOKUP(C353,Compte!$A$3:$B$346,2,0))</f>
        <v>Bâtiments sur sol d'autrui</v>
      </c>
      <c r="I353" s="1043" t="str">
        <f>IF(D353="","",VLOOKUP(D353,Compte!$A$3:$B$346,2,0))</f>
        <v/>
      </c>
    </row>
    <row r="354" spans="1:9">
      <c r="A354" s="1206"/>
      <c r="B354" s="606" t="s">
        <v>1544</v>
      </c>
      <c r="C354" s="1046">
        <v>44512</v>
      </c>
      <c r="D354" s="1048"/>
      <c r="E354" s="1068">
        <v>2000</v>
      </c>
      <c r="F354" s="1044"/>
      <c r="G354" s="1077">
        <f t="shared" si="5"/>
        <v>2000</v>
      </c>
      <c r="H354" s="1042" t="str">
        <f>IF(C354="","",VLOOKUP(C354,Compte!$A$3:$B$346,2,0))</f>
        <v>T.V.A. récupérable sur immobilisations à taux normal</v>
      </c>
      <c r="I354" s="1043" t="str">
        <f>IF(D354="","",VLOOKUP(D354,Compte!$A$3:$B$346,2,0))</f>
        <v/>
      </c>
    </row>
    <row r="355" spans="1:9">
      <c r="A355" s="1206"/>
      <c r="B355" s="606" t="s">
        <v>825</v>
      </c>
      <c r="C355" s="1046"/>
      <c r="D355" s="1048">
        <v>4011</v>
      </c>
      <c r="E355" s="1068"/>
      <c r="F355" s="1044">
        <v>22000</v>
      </c>
      <c r="G355" s="1077">
        <f t="shared" si="5"/>
        <v>22000</v>
      </c>
      <c r="H355" s="1042" t="str">
        <f>IF(C355="","",VLOOKUP(C355,Compte!$A$3:$B$346,2,0))</f>
        <v/>
      </c>
      <c r="I355" s="1043" t="str">
        <f>IF(D355="","",VLOOKUP(D355,Compte!$A$3:$B$346,2,0))</f>
        <v>Fournisseurs</v>
      </c>
    </row>
    <row r="356" spans="1:9">
      <c r="A356" s="1206"/>
      <c r="B356" s="606"/>
      <c r="C356" s="1046"/>
      <c r="D356" s="1048"/>
      <c r="E356" s="1068"/>
      <c r="F356" s="1044"/>
      <c r="G356" s="1077">
        <f t="shared" si="5"/>
        <v>0</v>
      </c>
      <c r="H356" s="1042" t="str">
        <f>IF(C356="","",VLOOKUP(C356,Compte!$A$3:$B$346,2,0))</f>
        <v/>
      </c>
      <c r="I356" s="1043" t="str">
        <f>IF(D356="","",VLOOKUP(D356,Compte!$A$3:$B$346,2,0))</f>
        <v/>
      </c>
    </row>
    <row r="357" spans="1:9">
      <c r="A357" s="1206"/>
      <c r="B357" s="606" t="s">
        <v>1546</v>
      </c>
      <c r="C357" s="1046">
        <v>233</v>
      </c>
      <c r="D357" s="1048"/>
      <c r="E357" s="1068">
        <v>20000</v>
      </c>
      <c r="F357" s="1044"/>
      <c r="G357" s="1077">
        <f t="shared" si="5"/>
        <v>20000</v>
      </c>
      <c r="H357" s="1042" t="str">
        <f>IF(C357="","",VLOOKUP(C357,Compte!$A$3:$B$346,2,0))</f>
        <v>Ouvrages d'infrastructure</v>
      </c>
      <c r="I357" s="1043" t="str">
        <f>IF(D357="","",VLOOKUP(D357,Compte!$A$3:$B$346,2,0))</f>
        <v/>
      </c>
    </row>
    <row r="358" spans="1:9">
      <c r="A358" s="1206"/>
      <c r="B358" s="606" t="s">
        <v>1544</v>
      </c>
      <c r="C358" s="1046">
        <v>44512</v>
      </c>
      <c r="D358" s="1048"/>
      <c r="E358" s="1068">
        <v>2000</v>
      </c>
      <c r="F358" s="1044"/>
      <c r="G358" s="1077">
        <f t="shared" si="5"/>
        <v>2000</v>
      </c>
      <c r="H358" s="1042" t="str">
        <f>IF(C358="","",VLOOKUP(C358,Compte!$A$3:$B$346,2,0))</f>
        <v>T.V.A. récupérable sur immobilisations à taux normal</v>
      </c>
      <c r="I358" s="1043" t="str">
        <f>IF(D358="","",VLOOKUP(D358,Compte!$A$3:$B$346,2,0))</f>
        <v/>
      </c>
    </row>
    <row r="359" spans="1:9">
      <c r="A359" s="1206"/>
      <c r="B359" s="606" t="s">
        <v>825</v>
      </c>
      <c r="C359" s="1046"/>
      <c r="D359" s="1048">
        <v>4011</v>
      </c>
      <c r="E359" s="1068"/>
      <c r="F359" s="1044">
        <v>22000</v>
      </c>
      <c r="G359" s="1077">
        <f t="shared" si="5"/>
        <v>22000</v>
      </c>
      <c r="H359" s="1042" t="str">
        <f>IF(C359="","",VLOOKUP(C359,Compte!$A$3:$B$346,2,0))</f>
        <v/>
      </c>
      <c r="I359" s="1043" t="str">
        <f>IF(D359="","",VLOOKUP(D359,Compte!$A$3:$B$346,2,0))</f>
        <v>Fournisseurs</v>
      </c>
    </row>
    <row r="360" spans="1:9">
      <c r="A360" s="1206"/>
      <c r="B360" s="606"/>
      <c r="C360" s="1046"/>
      <c r="D360" s="1048"/>
      <c r="E360" s="1068"/>
      <c r="F360" s="1044"/>
      <c r="G360" s="1077">
        <f t="shared" si="5"/>
        <v>0</v>
      </c>
      <c r="H360" s="1042" t="str">
        <f>IF(C360="","",VLOOKUP(C360,Compte!$A$3:$B$346,2,0))</f>
        <v/>
      </c>
      <c r="I360" s="1043" t="str">
        <f>IF(D360="","",VLOOKUP(D360,Compte!$A$3:$B$346,2,0))</f>
        <v/>
      </c>
    </row>
    <row r="361" spans="1:9">
      <c r="A361" s="1206"/>
      <c r="B361" s="606" t="s">
        <v>1547</v>
      </c>
      <c r="C361" s="1046">
        <v>234</v>
      </c>
      <c r="D361" s="1048"/>
      <c r="E361" s="1068">
        <v>20000</v>
      </c>
      <c r="F361" s="1044"/>
      <c r="G361" s="1077">
        <f t="shared" si="5"/>
        <v>20000</v>
      </c>
      <c r="H361" s="1042" t="str">
        <f>IF(C361="","",VLOOKUP(C361,Compte!$A$3:$B$346,2,0))</f>
        <v>Installations techniques</v>
      </c>
      <c r="I361" s="1043" t="str">
        <f>IF(D361="","",VLOOKUP(D361,Compte!$A$3:$B$346,2,0))</f>
        <v/>
      </c>
    </row>
    <row r="362" spans="1:9">
      <c r="A362" s="1206"/>
      <c r="B362" s="606" t="s">
        <v>1544</v>
      </c>
      <c r="C362" s="1046">
        <v>44512</v>
      </c>
      <c r="D362" s="1048"/>
      <c r="E362" s="1068">
        <v>2000</v>
      </c>
      <c r="F362" s="1044"/>
      <c r="G362" s="1077">
        <f t="shared" si="5"/>
        <v>2000</v>
      </c>
      <c r="H362" s="1042" t="str">
        <f>IF(C362="","",VLOOKUP(C362,Compte!$A$3:$B$346,2,0))</f>
        <v>T.V.A. récupérable sur immobilisations à taux normal</v>
      </c>
      <c r="I362" s="1043" t="str">
        <f>IF(D362="","",VLOOKUP(D362,Compte!$A$3:$B$346,2,0))</f>
        <v/>
      </c>
    </row>
    <row r="363" spans="1:9">
      <c r="A363" s="1206"/>
      <c r="B363" s="606" t="s">
        <v>825</v>
      </c>
      <c r="C363" s="1046"/>
      <c r="D363" s="1048">
        <v>4011</v>
      </c>
      <c r="E363" s="1068"/>
      <c r="F363" s="1044">
        <v>22000</v>
      </c>
      <c r="G363" s="1077">
        <f t="shared" si="5"/>
        <v>22000</v>
      </c>
      <c r="H363" s="1042" t="str">
        <f>IF(C363="","",VLOOKUP(C363,Compte!$A$3:$B$346,2,0))</f>
        <v/>
      </c>
      <c r="I363" s="1043" t="str">
        <f>IF(D363="","",VLOOKUP(D363,Compte!$A$3:$B$346,2,0))</f>
        <v>Fournisseurs</v>
      </c>
    </row>
    <row r="364" spans="1:9">
      <c r="A364" s="1206"/>
      <c r="B364" s="606"/>
      <c r="C364" s="1046"/>
      <c r="D364" s="1048"/>
      <c r="E364" s="1068"/>
      <c r="F364" s="1044"/>
      <c r="G364" s="1077">
        <f t="shared" si="5"/>
        <v>0</v>
      </c>
      <c r="H364" s="1042" t="str">
        <f>IF(C364="","",VLOOKUP(C364,Compte!$A$3:$B$346,2,0))</f>
        <v/>
      </c>
      <c r="I364" s="1043" t="str">
        <f>IF(D364="","",VLOOKUP(D364,Compte!$A$3:$B$346,2,0))</f>
        <v/>
      </c>
    </row>
    <row r="365" spans="1:9">
      <c r="A365" s="1206"/>
      <c r="B365" s="606" t="s">
        <v>1548</v>
      </c>
      <c r="C365" s="1046">
        <v>235</v>
      </c>
      <c r="D365" s="1048"/>
      <c r="E365" s="1068">
        <v>20000</v>
      </c>
      <c r="F365" s="1044"/>
      <c r="G365" s="1077">
        <f t="shared" si="5"/>
        <v>20000</v>
      </c>
      <c r="H365" s="1042" t="str">
        <f>IF(C365="","",VLOOKUP(C365,Compte!$A$3:$B$346,2,0))</f>
        <v>Aménagement de bureaux</v>
      </c>
      <c r="I365" s="1043" t="str">
        <f>IF(D365="","",VLOOKUP(D365,Compte!$A$3:$B$346,2,0))</f>
        <v/>
      </c>
    </row>
    <row r="366" spans="1:9">
      <c r="A366" s="1206"/>
      <c r="B366" s="606" t="s">
        <v>1544</v>
      </c>
      <c r="C366" s="1046">
        <v>44512</v>
      </c>
      <c r="D366" s="1048"/>
      <c r="E366" s="1068">
        <v>2000</v>
      </c>
      <c r="F366" s="1044"/>
      <c r="G366" s="1077">
        <f t="shared" si="5"/>
        <v>2000</v>
      </c>
      <c r="H366" s="1042" t="str">
        <f>IF(C366="","",VLOOKUP(C366,Compte!$A$3:$B$346,2,0))</f>
        <v>T.V.A. récupérable sur immobilisations à taux normal</v>
      </c>
      <c r="I366" s="1043" t="str">
        <f>IF(D366="","",VLOOKUP(D366,Compte!$A$3:$B$346,2,0))</f>
        <v/>
      </c>
    </row>
    <row r="367" spans="1:9">
      <c r="A367" s="1206"/>
      <c r="B367" s="606" t="s">
        <v>825</v>
      </c>
      <c r="C367" s="1046"/>
      <c r="D367" s="1048">
        <v>4011</v>
      </c>
      <c r="E367" s="1068"/>
      <c r="F367" s="1044">
        <v>22000</v>
      </c>
      <c r="G367" s="1077">
        <f t="shared" si="5"/>
        <v>22000</v>
      </c>
      <c r="H367" s="1042" t="str">
        <f>IF(C367="","",VLOOKUP(C367,Compte!$A$3:$B$346,2,0))</f>
        <v/>
      </c>
      <c r="I367" s="1043" t="str">
        <f>IF(D367="","",VLOOKUP(D367,Compte!$A$3:$B$346,2,0))</f>
        <v>Fournisseurs</v>
      </c>
    </row>
    <row r="368" spans="1:9">
      <c r="A368" s="1206"/>
      <c r="B368" s="606"/>
      <c r="C368" s="1046"/>
      <c r="D368" s="1048"/>
      <c r="E368" s="1068"/>
      <c r="F368" s="1044"/>
      <c r="G368" s="1077">
        <f t="shared" si="5"/>
        <v>0</v>
      </c>
      <c r="H368" s="1042" t="str">
        <f>IF(C368="","",VLOOKUP(C368,Compte!$A$3:$B$346,2,0))</f>
        <v/>
      </c>
      <c r="I368" s="1043" t="str">
        <f>IF(D368="","",VLOOKUP(D368,Compte!$A$3:$B$346,2,0))</f>
        <v/>
      </c>
    </row>
    <row r="369" spans="1:9">
      <c r="A369" s="1206"/>
      <c r="B369" s="606" t="s">
        <v>1549</v>
      </c>
      <c r="C369" s="1046">
        <v>242</v>
      </c>
      <c r="D369" s="1048"/>
      <c r="E369" s="1068">
        <v>20000</v>
      </c>
      <c r="F369" s="1044"/>
      <c r="G369" s="1077">
        <f t="shared" si="5"/>
        <v>20000</v>
      </c>
      <c r="H369" s="1042" t="str">
        <f>IF(C369="","",VLOOKUP(C369,Compte!$A$3:$B$346,2,0))</f>
        <v>Matériel et outillage agricole</v>
      </c>
      <c r="I369" s="1043" t="str">
        <f>IF(D369="","",VLOOKUP(D369,Compte!$A$3:$B$346,2,0))</f>
        <v/>
      </c>
    </row>
    <row r="370" spans="1:9">
      <c r="A370" s="1206"/>
      <c r="B370" s="606" t="s">
        <v>1544</v>
      </c>
      <c r="C370" s="1046">
        <v>44512</v>
      </c>
      <c r="D370" s="1048"/>
      <c r="E370" s="1068">
        <v>2000</v>
      </c>
      <c r="F370" s="1044"/>
      <c r="G370" s="1077">
        <f t="shared" si="5"/>
        <v>2000</v>
      </c>
      <c r="H370" s="1042" t="str">
        <f>IF(C370="","",VLOOKUP(C370,Compte!$A$3:$B$346,2,0))</f>
        <v>T.V.A. récupérable sur immobilisations à taux normal</v>
      </c>
      <c r="I370" s="1043" t="str">
        <f>IF(D370="","",VLOOKUP(D370,Compte!$A$3:$B$346,2,0))</f>
        <v/>
      </c>
    </row>
    <row r="371" spans="1:9">
      <c r="A371" s="1206"/>
      <c r="B371" s="606" t="s">
        <v>825</v>
      </c>
      <c r="C371" s="1046"/>
      <c r="D371" s="1048">
        <v>4011</v>
      </c>
      <c r="E371" s="1068"/>
      <c r="F371" s="1044">
        <v>22000</v>
      </c>
      <c r="G371" s="1077">
        <f t="shared" si="5"/>
        <v>22000</v>
      </c>
      <c r="H371" s="1042" t="str">
        <f>IF(C371="","",VLOOKUP(C371,Compte!$A$3:$B$346,2,0))</f>
        <v/>
      </c>
      <c r="I371" s="1043" t="str">
        <f>IF(D371="","",VLOOKUP(D371,Compte!$A$3:$B$346,2,0))</f>
        <v>Fournisseurs</v>
      </c>
    </row>
    <row r="372" spans="1:9">
      <c r="A372" s="1206"/>
      <c r="B372" s="606"/>
      <c r="C372" s="1046"/>
      <c r="D372" s="1048"/>
      <c r="E372" s="1068"/>
      <c r="F372" s="1044"/>
      <c r="G372" s="1077">
        <f t="shared" si="5"/>
        <v>0</v>
      </c>
      <c r="H372" s="1042" t="str">
        <f>IF(C372="","",VLOOKUP(C372,Compte!$A$3:$B$346,2,0))</f>
        <v/>
      </c>
      <c r="I372" s="1043" t="str">
        <f>IF(D372="","",VLOOKUP(D372,Compte!$A$3:$B$346,2,0))</f>
        <v/>
      </c>
    </row>
    <row r="373" spans="1:9">
      <c r="A373" s="1206"/>
      <c r="B373" s="606" t="s">
        <v>1550</v>
      </c>
      <c r="C373" s="1046">
        <v>243</v>
      </c>
      <c r="D373" s="1048"/>
      <c r="E373" s="1068">
        <v>20000</v>
      </c>
      <c r="F373" s="1044"/>
      <c r="G373" s="1077">
        <f t="shared" si="5"/>
        <v>20000</v>
      </c>
      <c r="H373" s="1042" t="str">
        <f>IF(C373="","",VLOOKUP(C373,Compte!$A$3:$B$346,2,0))</f>
        <v>Matériel informatique</v>
      </c>
      <c r="I373" s="1043" t="str">
        <f>IF(D373="","",VLOOKUP(D373,Compte!$A$3:$B$346,2,0))</f>
        <v/>
      </c>
    </row>
    <row r="374" spans="1:9">
      <c r="A374" s="1206"/>
      <c r="B374" s="606" t="s">
        <v>1544</v>
      </c>
      <c r="C374" s="1046">
        <v>44512</v>
      </c>
      <c r="D374" s="1048"/>
      <c r="E374" s="1068">
        <v>2000</v>
      </c>
      <c r="F374" s="1044"/>
      <c r="G374" s="1077">
        <f t="shared" si="5"/>
        <v>2000</v>
      </c>
      <c r="H374" s="1042" t="str">
        <f>IF(C374="","",VLOOKUP(C374,Compte!$A$3:$B$346,2,0))</f>
        <v>T.V.A. récupérable sur immobilisations à taux normal</v>
      </c>
      <c r="I374" s="1043" t="str">
        <f>IF(D374="","",VLOOKUP(D374,Compte!$A$3:$B$346,2,0))</f>
        <v/>
      </c>
    </row>
    <row r="375" spans="1:9">
      <c r="A375" s="1206"/>
      <c r="B375" s="606" t="s">
        <v>825</v>
      </c>
      <c r="C375" s="1046"/>
      <c r="D375" s="1048">
        <v>4011</v>
      </c>
      <c r="E375" s="1068"/>
      <c r="F375" s="1044">
        <v>22000</v>
      </c>
      <c r="G375" s="1077">
        <f t="shared" si="5"/>
        <v>22000</v>
      </c>
      <c r="H375" s="1042" t="str">
        <f>IF(C375="","",VLOOKUP(C375,Compte!$A$3:$B$346,2,0))</f>
        <v/>
      </c>
      <c r="I375" s="1043" t="str">
        <f>IF(D375="","",VLOOKUP(D375,Compte!$A$3:$B$346,2,0))</f>
        <v>Fournisseurs</v>
      </c>
    </row>
    <row r="376" spans="1:9">
      <c r="A376" s="1206"/>
      <c r="B376" s="606"/>
      <c r="C376" s="1046"/>
      <c r="D376" s="1048"/>
      <c r="E376" s="1068"/>
      <c r="F376" s="1044"/>
      <c r="G376" s="1077">
        <f t="shared" si="5"/>
        <v>0</v>
      </c>
      <c r="H376" s="1042" t="str">
        <f>IF(C376="","",VLOOKUP(C376,Compte!$A$3:$B$346,2,0))</f>
        <v/>
      </c>
      <c r="I376" s="1043" t="str">
        <f>IF(D376="","",VLOOKUP(D376,Compte!$A$3:$B$346,2,0))</f>
        <v/>
      </c>
    </row>
    <row r="377" spans="1:9">
      <c r="A377" s="1206"/>
      <c r="B377" s="606" t="s">
        <v>1551</v>
      </c>
      <c r="C377" s="1046">
        <v>244</v>
      </c>
      <c r="D377" s="1048"/>
      <c r="E377" s="1068">
        <v>20000</v>
      </c>
      <c r="F377" s="1044"/>
      <c r="G377" s="1077">
        <f t="shared" si="5"/>
        <v>20000</v>
      </c>
      <c r="H377" s="1042" t="str">
        <f>IF(C377="","",VLOOKUP(C377,Compte!$A$3:$B$346,2,0))</f>
        <v>Matériel mobilier</v>
      </c>
      <c r="I377" s="1043" t="str">
        <f>IF(D377="","",VLOOKUP(D377,Compte!$A$3:$B$346,2,0))</f>
        <v/>
      </c>
    </row>
    <row r="378" spans="1:9">
      <c r="A378" s="1206"/>
      <c r="B378" s="606" t="s">
        <v>1544</v>
      </c>
      <c r="C378" s="1046">
        <v>44512</v>
      </c>
      <c r="D378" s="1048"/>
      <c r="E378" s="1068">
        <v>2000</v>
      </c>
      <c r="F378" s="1044"/>
      <c r="G378" s="1077">
        <f t="shared" si="5"/>
        <v>2000</v>
      </c>
      <c r="H378" s="1042" t="str">
        <f>IF(C378="","",VLOOKUP(C378,Compte!$A$3:$B$346,2,0))</f>
        <v>T.V.A. récupérable sur immobilisations à taux normal</v>
      </c>
      <c r="I378" s="1043" t="str">
        <f>IF(D378="","",VLOOKUP(D378,Compte!$A$3:$B$346,2,0))</f>
        <v/>
      </c>
    </row>
    <row r="379" spans="1:9">
      <c r="A379" s="1206"/>
      <c r="B379" s="606" t="s">
        <v>825</v>
      </c>
      <c r="C379" s="1046"/>
      <c r="D379" s="1048">
        <v>4011</v>
      </c>
      <c r="E379" s="1068"/>
      <c r="F379" s="1044">
        <v>22000</v>
      </c>
      <c r="G379" s="1077">
        <f t="shared" si="5"/>
        <v>22000</v>
      </c>
      <c r="H379" s="1042" t="str">
        <f>IF(C379="","",VLOOKUP(C379,Compte!$A$3:$B$346,2,0))</f>
        <v/>
      </c>
      <c r="I379" s="1043" t="str">
        <f>IF(D379="","",VLOOKUP(D379,Compte!$A$3:$B$346,2,0))</f>
        <v>Fournisseurs</v>
      </c>
    </row>
    <row r="380" spans="1:9">
      <c r="A380" s="1206"/>
      <c r="B380" s="606"/>
      <c r="C380" s="1046"/>
      <c r="D380" s="1048"/>
      <c r="E380" s="1068"/>
      <c r="F380" s="1044"/>
      <c r="G380" s="1077">
        <f t="shared" si="5"/>
        <v>0</v>
      </c>
      <c r="H380" s="1042" t="str">
        <f>IF(C380="","",VLOOKUP(C380,Compte!$A$3:$B$346,2,0))</f>
        <v/>
      </c>
      <c r="I380" s="1043" t="str">
        <f>IF(D380="","",VLOOKUP(D380,Compte!$A$3:$B$346,2,0))</f>
        <v/>
      </c>
    </row>
    <row r="381" spans="1:9">
      <c r="A381" s="1206"/>
      <c r="B381" s="606" t="s">
        <v>1552</v>
      </c>
      <c r="C381" s="1046">
        <v>245</v>
      </c>
      <c r="D381" s="1048"/>
      <c r="E381" s="1068">
        <v>20000</v>
      </c>
      <c r="F381" s="1044"/>
      <c r="G381" s="1077">
        <f t="shared" si="5"/>
        <v>20000</v>
      </c>
      <c r="H381" s="1042" t="str">
        <f>IF(C381="","",VLOOKUP(C381,Compte!$A$3:$B$346,2,0))</f>
        <v>Matériel de transport</v>
      </c>
      <c r="I381" s="1043" t="str">
        <f>IF(D381="","",VLOOKUP(D381,Compte!$A$3:$B$346,2,0))</f>
        <v/>
      </c>
    </row>
    <row r="382" spans="1:9">
      <c r="A382" s="1206"/>
      <c r="B382" s="606" t="s">
        <v>1544</v>
      </c>
      <c r="C382" s="1046">
        <v>44512</v>
      </c>
      <c r="D382" s="1048"/>
      <c r="E382" s="1068">
        <v>2000</v>
      </c>
      <c r="F382" s="1044"/>
      <c r="G382" s="1077">
        <f t="shared" si="5"/>
        <v>2000</v>
      </c>
      <c r="H382" s="1042" t="str">
        <f>IF(C382="","",VLOOKUP(C382,Compte!$A$3:$B$346,2,0))</f>
        <v>T.V.A. récupérable sur immobilisations à taux normal</v>
      </c>
      <c r="I382" s="1043" t="str">
        <f>IF(D382="","",VLOOKUP(D382,Compte!$A$3:$B$346,2,0))</f>
        <v/>
      </c>
    </row>
    <row r="383" spans="1:9">
      <c r="A383" s="1206"/>
      <c r="B383" s="606" t="s">
        <v>825</v>
      </c>
      <c r="C383" s="1046"/>
      <c r="D383" s="1048">
        <v>4011</v>
      </c>
      <c r="E383" s="1068"/>
      <c r="F383" s="1044">
        <v>22000</v>
      </c>
      <c r="G383" s="1077">
        <f t="shared" si="5"/>
        <v>22000</v>
      </c>
      <c r="H383" s="1042" t="str">
        <f>IF(C383="","",VLOOKUP(C383,Compte!$A$3:$B$346,2,0))</f>
        <v/>
      </c>
      <c r="I383" s="1043" t="str">
        <f>IF(D383="","",VLOOKUP(D383,Compte!$A$3:$B$346,2,0))</f>
        <v>Fournisseurs</v>
      </c>
    </row>
    <row r="384" spans="1:9">
      <c r="A384" s="1206"/>
      <c r="B384" s="606"/>
      <c r="C384" s="1046"/>
      <c r="D384" s="1048"/>
      <c r="E384" s="1068"/>
      <c r="F384" s="1044"/>
      <c r="G384" s="1077">
        <f t="shared" si="5"/>
        <v>0</v>
      </c>
      <c r="H384" s="1042" t="str">
        <f>IF(C384="","",VLOOKUP(C384,Compte!$A$3:$B$346,2,0))</f>
        <v/>
      </c>
      <c r="I384" s="1043" t="str">
        <f>IF(D384="","",VLOOKUP(D384,Compte!$A$3:$B$346,2,0))</f>
        <v/>
      </c>
    </row>
    <row r="385" spans="1:9">
      <c r="A385" s="1206"/>
      <c r="B385" s="606" t="s">
        <v>1553</v>
      </c>
      <c r="C385" s="1046">
        <v>246</v>
      </c>
      <c r="D385" s="1048"/>
      <c r="E385" s="1068">
        <v>20000</v>
      </c>
      <c r="F385" s="1044"/>
      <c r="G385" s="1077">
        <f t="shared" si="5"/>
        <v>20000</v>
      </c>
      <c r="H385" s="1042" t="str">
        <f>IF(C385="","",VLOOKUP(C385,Compte!$A$3:$B$346,2,0))</f>
        <v>Immobilisations. animales, agricoles</v>
      </c>
      <c r="I385" s="1043" t="str">
        <f>IF(D385="","",VLOOKUP(D385,Compte!$A$3:$B$346,2,0))</f>
        <v/>
      </c>
    </row>
    <row r="386" spans="1:9">
      <c r="A386" s="1206"/>
      <c r="B386" s="606" t="s">
        <v>1544</v>
      </c>
      <c r="C386" s="1046">
        <v>44512</v>
      </c>
      <c r="D386" s="1048"/>
      <c r="E386" s="1068">
        <v>2000</v>
      </c>
      <c r="F386" s="1044"/>
      <c r="G386" s="1077">
        <f t="shared" si="5"/>
        <v>2000</v>
      </c>
      <c r="H386" s="1042" t="str">
        <f>IF(C386="","",VLOOKUP(C386,Compte!$A$3:$B$346,2,0))</f>
        <v>T.V.A. récupérable sur immobilisations à taux normal</v>
      </c>
      <c r="I386" s="1043" t="str">
        <f>IF(D386="","",VLOOKUP(D386,Compte!$A$3:$B$346,2,0))</f>
        <v/>
      </c>
    </row>
    <row r="387" spans="1:9">
      <c r="A387" s="1206"/>
      <c r="B387" s="606" t="s">
        <v>825</v>
      </c>
      <c r="C387" s="1046"/>
      <c r="D387" s="1048">
        <v>4011</v>
      </c>
      <c r="E387" s="1068"/>
      <c r="F387" s="1044">
        <v>22000</v>
      </c>
      <c r="G387" s="1077">
        <f t="shared" si="5"/>
        <v>22000</v>
      </c>
      <c r="H387" s="1042" t="str">
        <f>IF(C387="","",VLOOKUP(C387,Compte!$A$3:$B$346,2,0))</f>
        <v/>
      </c>
      <c r="I387" s="1043" t="str">
        <f>IF(D387="","",VLOOKUP(D387,Compte!$A$3:$B$346,2,0))</f>
        <v>Fournisseurs</v>
      </c>
    </row>
    <row r="388" spans="1:9">
      <c r="A388" s="1206"/>
      <c r="B388" s="606"/>
      <c r="C388" s="1046"/>
      <c r="D388" s="1048"/>
      <c r="E388" s="1068"/>
      <c r="F388" s="1044"/>
      <c r="G388" s="1077">
        <f t="shared" si="5"/>
        <v>0</v>
      </c>
      <c r="H388" s="1042" t="str">
        <f>IF(C388="","",VLOOKUP(C388,Compte!$A$3:$B$346,2,0))</f>
        <v/>
      </c>
      <c r="I388" s="1043" t="str">
        <f>IF(D388="","",VLOOKUP(D388,Compte!$A$3:$B$346,2,0))</f>
        <v/>
      </c>
    </row>
    <row r="389" spans="1:9">
      <c r="A389" s="1206"/>
      <c r="B389" s="606" t="s">
        <v>1554</v>
      </c>
      <c r="C389" s="1046">
        <v>249</v>
      </c>
      <c r="D389" s="1048"/>
      <c r="E389" s="1068">
        <v>20000</v>
      </c>
      <c r="F389" s="1044"/>
      <c r="G389" s="1077">
        <f t="shared" si="5"/>
        <v>20000</v>
      </c>
      <c r="H389" s="1042" t="str">
        <f>IF(C389="","",VLOOKUP(C389,Compte!$A$3:$B$346,2,0))</f>
        <v>Autres immobilisations corporelles en cours</v>
      </c>
      <c r="I389" s="1043" t="str">
        <f>IF(D389="","",VLOOKUP(D389,Compte!$A$3:$B$346,2,0))</f>
        <v/>
      </c>
    </row>
    <row r="390" spans="1:9">
      <c r="A390" s="1206"/>
      <c r="B390" s="606" t="s">
        <v>1544</v>
      </c>
      <c r="C390" s="1046">
        <v>44512</v>
      </c>
      <c r="D390" s="1048"/>
      <c r="E390" s="1068">
        <v>2000</v>
      </c>
      <c r="F390" s="1044"/>
      <c r="G390" s="1077">
        <f t="shared" si="5"/>
        <v>2000</v>
      </c>
      <c r="H390" s="1042" t="str">
        <f>IF(C390="","",VLOOKUP(C390,Compte!$A$3:$B$346,2,0))</f>
        <v>T.V.A. récupérable sur immobilisations à taux normal</v>
      </c>
      <c r="I390" s="1043" t="str">
        <f>IF(D390="","",VLOOKUP(D390,Compte!$A$3:$B$346,2,0))</f>
        <v/>
      </c>
    </row>
    <row r="391" spans="1:9">
      <c r="A391" s="1206"/>
      <c r="B391" s="606" t="s">
        <v>825</v>
      </c>
      <c r="C391" s="1046"/>
      <c r="D391" s="1048">
        <v>4011</v>
      </c>
      <c r="E391" s="1068"/>
      <c r="F391" s="1044">
        <v>22000</v>
      </c>
      <c r="G391" s="1077">
        <f t="shared" si="5"/>
        <v>22000</v>
      </c>
      <c r="H391" s="1042" t="str">
        <f>IF(C391="","",VLOOKUP(C391,Compte!$A$3:$B$346,2,0))</f>
        <v/>
      </c>
      <c r="I391" s="1043" t="str">
        <f>IF(D391="","",VLOOKUP(D391,Compte!$A$3:$B$346,2,0))</f>
        <v>Fournisseurs</v>
      </c>
    </row>
    <row r="392" spans="1:9">
      <c r="A392" s="1206"/>
      <c r="B392" s="606"/>
      <c r="C392" s="1046"/>
      <c r="D392" s="1048"/>
      <c r="E392" s="1068"/>
      <c r="F392" s="1044"/>
      <c r="G392" s="1077">
        <f t="shared" ref="G392:G455" si="6">IF(C392="",F392,E392)</f>
        <v>0</v>
      </c>
      <c r="H392" s="1042" t="str">
        <f>IF(C392="","",VLOOKUP(C392,Compte!$A$3:$B$346,2,0))</f>
        <v/>
      </c>
      <c r="I392" s="1043" t="str">
        <f>IF(D392="","",VLOOKUP(D392,Compte!$A$3:$B$346,2,0))</f>
        <v/>
      </c>
    </row>
    <row r="393" spans="1:9">
      <c r="A393" s="1206"/>
      <c r="B393" s="606" t="s">
        <v>1557</v>
      </c>
      <c r="C393" s="1046">
        <v>212</v>
      </c>
      <c r="D393" s="1048"/>
      <c r="E393" s="1068">
        <v>20000</v>
      </c>
      <c r="F393" s="1044"/>
      <c r="G393" s="1077">
        <f t="shared" si="6"/>
        <v>20000</v>
      </c>
      <c r="H393" s="1042" t="str">
        <f>IF(C393="","",VLOOKUP(C393,Compte!$A$3:$B$346,2,0))</f>
        <v>Brevets, licences, concessions</v>
      </c>
      <c r="I393" s="1043" t="str">
        <f>IF(D393="","",VLOOKUP(D393,Compte!$A$3:$B$346,2,0))</f>
        <v/>
      </c>
    </row>
    <row r="394" spans="1:9">
      <c r="A394" s="1206"/>
      <c r="B394" s="606" t="s">
        <v>1544</v>
      </c>
      <c r="C394" s="1046">
        <v>44512</v>
      </c>
      <c r="D394" s="1048"/>
      <c r="E394" s="1068">
        <v>2000</v>
      </c>
      <c r="F394" s="1044"/>
      <c r="G394" s="1077">
        <f t="shared" si="6"/>
        <v>2000</v>
      </c>
      <c r="H394" s="1042" t="str">
        <f>IF(C394="","",VLOOKUP(C394,Compte!$A$3:$B$346,2,0))</f>
        <v>T.V.A. récupérable sur immobilisations à taux normal</v>
      </c>
      <c r="I394" s="1043" t="str">
        <f>IF(D394="","",VLOOKUP(D394,Compte!$A$3:$B$346,2,0))</f>
        <v/>
      </c>
    </row>
    <row r="395" spans="1:9">
      <c r="A395" s="1206"/>
      <c r="B395" s="606" t="s">
        <v>825</v>
      </c>
      <c r="C395" s="1046"/>
      <c r="D395" s="1048">
        <v>4011</v>
      </c>
      <c r="E395" s="1068"/>
      <c r="F395" s="1044">
        <v>22000</v>
      </c>
      <c r="G395" s="1077">
        <f t="shared" si="6"/>
        <v>22000</v>
      </c>
      <c r="H395" s="1042" t="str">
        <f>IF(C395="","",VLOOKUP(C395,Compte!$A$3:$B$346,2,0))</f>
        <v/>
      </c>
      <c r="I395" s="1043" t="str">
        <f>IF(D395="","",VLOOKUP(D395,Compte!$A$3:$B$346,2,0))</f>
        <v>Fournisseurs</v>
      </c>
    </row>
    <row r="396" spans="1:9">
      <c r="A396" s="1206"/>
      <c r="B396" s="606"/>
      <c r="C396" s="1046"/>
      <c r="D396" s="1048"/>
      <c r="E396" s="1068"/>
      <c r="F396" s="1044"/>
      <c r="G396" s="1077">
        <f t="shared" si="6"/>
        <v>0</v>
      </c>
      <c r="H396" s="1042" t="str">
        <f>IF(C396="","",VLOOKUP(C396,Compte!$A$3:$B$346,2,0))</f>
        <v/>
      </c>
      <c r="I396" s="1043" t="str">
        <f>IF(D396="","",VLOOKUP(D396,Compte!$A$3:$B$346,2,0))</f>
        <v/>
      </c>
    </row>
    <row r="397" spans="1:9">
      <c r="A397" s="1206"/>
      <c r="B397" s="606" t="s">
        <v>1556</v>
      </c>
      <c r="C397" s="1046">
        <v>213</v>
      </c>
      <c r="D397" s="1048"/>
      <c r="E397" s="1068">
        <v>20000</v>
      </c>
      <c r="F397" s="1044"/>
      <c r="G397" s="1077">
        <f t="shared" si="6"/>
        <v>20000</v>
      </c>
      <c r="H397" s="1042" t="str">
        <f>IF(C397="","",VLOOKUP(C397,Compte!$A$3:$B$346,2,0))</f>
        <v>Logiciels &amp; marques</v>
      </c>
      <c r="I397" s="1043" t="str">
        <f>IF(D397="","",VLOOKUP(D397,Compte!$A$3:$B$346,2,0))</f>
        <v/>
      </c>
    </row>
    <row r="398" spans="1:9">
      <c r="A398" s="1206"/>
      <c r="B398" s="606" t="s">
        <v>1544</v>
      </c>
      <c r="C398" s="1046">
        <v>44512</v>
      </c>
      <c r="D398" s="1048"/>
      <c r="E398" s="1068">
        <v>2000</v>
      </c>
      <c r="F398" s="1044"/>
      <c r="G398" s="1077">
        <f t="shared" si="6"/>
        <v>2000</v>
      </c>
      <c r="H398" s="1042" t="str">
        <f>IF(C398="","",VLOOKUP(C398,Compte!$A$3:$B$346,2,0))</f>
        <v>T.V.A. récupérable sur immobilisations à taux normal</v>
      </c>
      <c r="I398" s="1043" t="str">
        <f>IF(D398="","",VLOOKUP(D398,Compte!$A$3:$B$346,2,0))</f>
        <v/>
      </c>
    </row>
    <row r="399" spans="1:9">
      <c r="A399" s="1206"/>
      <c r="B399" s="606" t="s">
        <v>825</v>
      </c>
      <c r="C399" s="1046"/>
      <c r="D399" s="1048">
        <v>4011</v>
      </c>
      <c r="E399" s="1068"/>
      <c r="F399" s="1044">
        <v>22000</v>
      </c>
      <c r="G399" s="1077">
        <f t="shared" si="6"/>
        <v>22000</v>
      </c>
      <c r="H399" s="1042" t="str">
        <f>IF(C399="","",VLOOKUP(C399,Compte!$A$3:$B$346,2,0))</f>
        <v/>
      </c>
      <c r="I399" s="1043" t="str">
        <f>IF(D399="","",VLOOKUP(D399,Compte!$A$3:$B$346,2,0))</f>
        <v>Fournisseurs</v>
      </c>
    </row>
    <row r="400" spans="1:9">
      <c r="A400" s="1206"/>
      <c r="B400" s="606"/>
      <c r="C400" s="1046"/>
      <c r="D400" s="1048"/>
      <c r="E400" s="1068"/>
      <c r="F400" s="1044"/>
      <c r="G400" s="1077">
        <f t="shared" si="6"/>
        <v>0</v>
      </c>
      <c r="H400" s="1042" t="str">
        <f>IF(C400="","",VLOOKUP(C400,Compte!$A$3:$B$346,2,0))</f>
        <v/>
      </c>
      <c r="I400" s="1043" t="str">
        <f>IF(D400="","",VLOOKUP(D400,Compte!$A$3:$B$346,2,0))</f>
        <v/>
      </c>
    </row>
    <row r="401" spans="1:9">
      <c r="A401" s="1206"/>
      <c r="B401" s="606" t="s">
        <v>1555</v>
      </c>
      <c r="C401" s="1046">
        <v>218</v>
      </c>
      <c r="D401" s="1048"/>
      <c r="E401" s="1068">
        <v>20000</v>
      </c>
      <c r="F401" s="1044"/>
      <c r="G401" s="1077">
        <f t="shared" si="6"/>
        <v>20000</v>
      </c>
      <c r="H401" s="1042" t="str">
        <f>IF(C401="","",VLOOKUP(C401,Compte!$A$3:$B$346,2,0))</f>
        <v>Autres droits, valeurs incorporelles.</v>
      </c>
      <c r="I401" s="1043" t="str">
        <f>IF(D401="","",VLOOKUP(D401,Compte!$A$3:$B$346,2,0))</f>
        <v/>
      </c>
    </row>
    <row r="402" spans="1:9">
      <c r="A402" s="1206"/>
      <c r="B402" s="606" t="s">
        <v>1544</v>
      </c>
      <c r="C402" s="1046">
        <v>44512</v>
      </c>
      <c r="D402" s="1048"/>
      <c r="E402" s="1068">
        <v>2000</v>
      </c>
      <c r="F402" s="1044"/>
      <c r="G402" s="1077">
        <f t="shared" si="6"/>
        <v>2000</v>
      </c>
      <c r="H402" s="1042" t="str">
        <f>IF(C402="","",VLOOKUP(C402,Compte!$A$3:$B$346,2,0))</f>
        <v>T.V.A. récupérable sur immobilisations à taux normal</v>
      </c>
      <c r="I402" s="1043" t="str">
        <f>IF(D402="","",VLOOKUP(D402,Compte!$A$3:$B$346,2,0))</f>
        <v/>
      </c>
    </row>
    <row r="403" spans="1:9">
      <c r="A403" s="1206"/>
      <c r="B403" s="606" t="s">
        <v>825</v>
      </c>
      <c r="C403" s="1046"/>
      <c r="D403" s="1048">
        <v>4011</v>
      </c>
      <c r="E403" s="1068"/>
      <c r="F403" s="1044">
        <v>22000</v>
      </c>
      <c r="G403" s="1077">
        <f t="shared" si="6"/>
        <v>22000</v>
      </c>
      <c r="H403" s="1042" t="str">
        <f>IF(C403="","",VLOOKUP(C403,Compte!$A$3:$B$346,2,0))</f>
        <v/>
      </c>
      <c r="I403" s="1043" t="str">
        <f>IF(D403="","",VLOOKUP(D403,Compte!$A$3:$B$346,2,0))</f>
        <v>Fournisseurs</v>
      </c>
    </row>
    <row r="404" spans="1:9">
      <c r="A404" s="1206"/>
      <c r="B404" s="606"/>
      <c r="C404" s="1046"/>
      <c r="D404" s="1048"/>
      <c r="E404" s="1068"/>
      <c r="F404" s="1044"/>
      <c r="G404" s="1077">
        <f t="shared" si="6"/>
        <v>0</v>
      </c>
      <c r="H404" s="1042" t="str">
        <f>IF(C404="","",VLOOKUP(C404,Compte!$A$3:$B$346,2,0))</f>
        <v/>
      </c>
      <c r="I404" s="1043" t="str">
        <f>IF(D404="","",VLOOKUP(D404,Compte!$A$3:$B$346,2,0))</f>
        <v/>
      </c>
    </row>
    <row r="405" spans="1:9">
      <c r="A405" s="1206"/>
      <c r="B405" s="606" t="s">
        <v>981</v>
      </c>
      <c r="C405" s="1046">
        <v>221</v>
      </c>
      <c r="D405" s="1048"/>
      <c r="E405" s="1068">
        <v>10000</v>
      </c>
      <c r="F405" s="1044"/>
      <c r="G405" s="1077">
        <f t="shared" si="6"/>
        <v>10000</v>
      </c>
      <c r="H405" s="1042" t="str">
        <f>IF(C405="","",VLOOKUP(C405,Compte!$A$3:$B$346,2,0))</f>
        <v>Terrains agricoles, forestiers, nu, bâtit</v>
      </c>
      <c r="I405" s="1043" t="str">
        <f>IF(D405="","",VLOOKUP(D405,Compte!$A$3:$B$346,2,0))</f>
        <v/>
      </c>
    </row>
    <row r="406" spans="1:9">
      <c r="A406" s="1206"/>
      <c r="B406" s="606" t="s">
        <v>846</v>
      </c>
      <c r="C406" s="1046">
        <v>6324</v>
      </c>
      <c r="D406" s="1048"/>
      <c r="E406" s="1068">
        <v>500</v>
      </c>
      <c r="F406" s="1044"/>
      <c r="G406" s="1077">
        <f t="shared" si="6"/>
        <v>500</v>
      </c>
      <c r="H406" s="1042" t="str">
        <f>IF(C406="","",VLOOKUP(C406,Compte!$A$3:$B$346,2,0))</f>
        <v>Honoraires</v>
      </c>
      <c r="I406" s="1043" t="str">
        <f>IF(D406="","",VLOOKUP(D406,Compte!$A$3:$B$346,2,0))</f>
        <v/>
      </c>
    </row>
    <row r="407" spans="1:9">
      <c r="A407" s="1206"/>
      <c r="B407" s="606" t="s">
        <v>847</v>
      </c>
      <c r="C407" s="1046">
        <v>6350</v>
      </c>
      <c r="D407" s="1048"/>
      <c r="E407" s="1068">
        <v>300</v>
      </c>
      <c r="F407" s="1044"/>
      <c r="G407" s="1077">
        <f t="shared" si="6"/>
        <v>300</v>
      </c>
      <c r="H407" s="1042" t="str">
        <f>IF(C407="","",VLOOKUP(C407,Compte!$A$3:$B$346,2,0))</f>
        <v>Autres impôts, droit et autres enregistrements</v>
      </c>
      <c r="I407" s="1043" t="str">
        <f>IF(D407="","",VLOOKUP(D407,Compte!$A$3:$B$346,2,0))</f>
        <v/>
      </c>
    </row>
    <row r="408" spans="1:9">
      <c r="A408" s="1206"/>
      <c r="B408" s="606" t="s">
        <v>832</v>
      </c>
      <c r="C408" s="1046">
        <v>44522</v>
      </c>
      <c r="D408" s="1048"/>
      <c r="E408" s="1068">
        <v>2000</v>
      </c>
      <c r="F408" s="1044"/>
      <c r="G408" s="1077">
        <f t="shared" si="6"/>
        <v>2000</v>
      </c>
      <c r="H408" s="1042" t="str">
        <f>IF(C408="","",VLOOKUP(C408,Compte!$A$3:$B$346,2,0))</f>
        <v>T.V.A. récupérable sur achats a taux normal</v>
      </c>
      <c r="I408" s="1043" t="str">
        <f>IF(D408="","",VLOOKUP(D408,Compte!$A$3:$B$346,2,0))</f>
        <v/>
      </c>
    </row>
    <row r="409" spans="1:9">
      <c r="A409" s="1206"/>
      <c r="B409" s="606" t="s">
        <v>830</v>
      </c>
      <c r="C409" s="1046"/>
      <c r="D409" s="1048">
        <v>520</v>
      </c>
      <c r="E409" s="1068"/>
      <c r="F409" s="1044">
        <v>12800</v>
      </c>
      <c r="G409" s="1077">
        <f t="shared" si="6"/>
        <v>12800</v>
      </c>
      <c r="H409" s="1042" t="str">
        <f>IF(C409="","",VLOOKUP(C409,Compte!$A$3:$B$346,2,0))</f>
        <v/>
      </c>
      <c r="I409" s="1043" t="str">
        <f>IF(D409="","",VLOOKUP(D409,Compte!$A$3:$B$346,2,0))</f>
        <v>Banques cpte en monnaie nationale</v>
      </c>
    </row>
    <row r="410" spans="1:9">
      <c r="A410" s="1206"/>
      <c r="B410" s="606"/>
      <c r="C410" s="1046"/>
      <c r="D410" s="1048"/>
      <c r="E410" s="1068"/>
      <c r="F410" s="1044"/>
      <c r="G410" s="1077">
        <f t="shared" si="6"/>
        <v>0</v>
      </c>
      <c r="H410" s="1042" t="str">
        <f>IF(C410="","",VLOOKUP(C410,Compte!$A$3:$B$346,2,0))</f>
        <v/>
      </c>
      <c r="I410" s="1043" t="str">
        <f>IF(D410="","",VLOOKUP(D410,Compte!$A$3:$B$346,2,0))</f>
        <v/>
      </c>
    </row>
    <row r="411" spans="1:9">
      <c r="A411" s="1206"/>
      <c r="B411" s="606" t="s">
        <v>848</v>
      </c>
      <c r="C411" s="1047">
        <v>243</v>
      </c>
      <c r="D411" s="1048"/>
      <c r="E411" s="1068">
        <v>4000</v>
      </c>
      <c r="F411" s="1044"/>
      <c r="G411" s="1077">
        <f t="shared" si="6"/>
        <v>4000</v>
      </c>
      <c r="H411" s="1042" t="str">
        <f>IF(C411="","",VLOOKUP(C411,Compte!$A$3:$B$346,2,0))</f>
        <v>Matériel informatique</v>
      </c>
      <c r="I411" s="1043" t="str">
        <f>IF(D411="","",VLOOKUP(D411,Compte!$A$3:$B$346,2,0))</f>
        <v/>
      </c>
    </row>
    <row r="412" spans="1:9">
      <c r="A412" s="1206"/>
      <c r="B412" s="606" t="s">
        <v>849</v>
      </c>
      <c r="C412" s="1046">
        <v>44512</v>
      </c>
      <c r="D412" s="1048"/>
      <c r="E412" s="1068">
        <v>200</v>
      </c>
      <c r="F412" s="1044"/>
      <c r="G412" s="1077">
        <f t="shared" si="6"/>
        <v>200</v>
      </c>
      <c r="H412" s="1042" t="str">
        <f>IF(C412="","",VLOOKUP(C412,Compte!$A$3:$B$346,2,0))</f>
        <v>T.V.A. récupérable sur immobilisations à taux normal</v>
      </c>
      <c r="I412" s="1043" t="str">
        <f>IF(D412="","",VLOOKUP(D412,Compte!$A$3:$B$346,2,0))</f>
        <v/>
      </c>
    </row>
    <row r="413" spans="1:9">
      <c r="A413" s="1206"/>
      <c r="B413" s="606" t="s">
        <v>850</v>
      </c>
      <c r="C413" s="1046">
        <v>6055</v>
      </c>
      <c r="D413" s="1048"/>
      <c r="E413" s="1068">
        <v>2000</v>
      </c>
      <c r="F413" s="1044"/>
      <c r="G413" s="1077">
        <f t="shared" si="6"/>
        <v>2000</v>
      </c>
      <c r="H413" s="1042" t="str">
        <f>IF(C413="","",VLOOKUP(C413,Compte!$A$3:$B$346,2,0))</f>
        <v>Fournitures de bureau et petit logiciel bureautique</v>
      </c>
      <c r="I413" s="1043" t="str">
        <f>IF(D413="","",VLOOKUP(D413,Compte!$A$3:$B$346,2,0))</f>
        <v/>
      </c>
    </row>
    <row r="414" spans="1:9">
      <c r="A414" s="1206"/>
      <c r="B414" s="606" t="s">
        <v>851</v>
      </c>
      <c r="C414" s="1046">
        <v>6064</v>
      </c>
      <c r="D414" s="1048"/>
      <c r="E414" s="1068">
        <v>400</v>
      </c>
      <c r="F414" s="1044"/>
      <c r="G414" s="1077">
        <f t="shared" si="6"/>
        <v>400</v>
      </c>
      <c r="H414" s="1042" t="str">
        <f>IF(C414="","",VLOOKUP(C414,Compte!$A$3:$B$346,2,0))</f>
        <v>Fournitures administratives</v>
      </c>
      <c r="I414" s="1043" t="str">
        <f>IF(D414="","",VLOOKUP(D414,Compte!$A$3:$B$346,2,0))</f>
        <v/>
      </c>
    </row>
    <row r="415" spans="1:9">
      <c r="A415" s="1206"/>
      <c r="B415" s="606" t="s">
        <v>852</v>
      </c>
      <c r="C415" s="1046">
        <v>44522</v>
      </c>
      <c r="D415" s="1048"/>
      <c r="E415" s="1068">
        <v>100</v>
      </c>
      <c r="F415" s="1044"/>
      <c r="G415" s="1077">
        <f t="shared" si="6"/>
        <v>100</v>
      </c>
      <c r="H415" s="1042" t="str">
        <f>IF(C415="","",VLOOKUP(C415,Compte!$A$3:$B$346,2,0))</f>
        <v>T.V.A. récupérable sur achats a taux normal</v>
      </c>
      <c r="I415" s="1043" t="str">
        <f>IF(D415="","",VLOOKUP(D415,Compte!$A$3:$B$346,2,0))</f>
        <v/>
      </c>
    </row>
    <row r="416" spans="1:9">
      <c r="A416" s="1206"/>
      <c r="B416" s="606" t="s">
        <v>830</v>
      </c>
      <c r="C416" s="1046"/>
      <c r="D416" s="1048">
        <v>520</v>
      </c>
      <c r="E416" s="1068"/>
      <c r="F416" s="1044">
        <v>6700</v>
      </c>
      <c r="G416" s="1077">
        <f t="shared" si="6"/>
        <v>6700</v>
      </c>
      <c r="H416" s="1042" t="str">
        <f>IF(C416="","",VLOOKUP(C416,Compte!$A$3:$B$346,2,0))</f>
        <v/>
      </c>
      <c r="I416" s="1043" t="str">
        <f>IF(D416="","",VLOOKUP(D416,Compte!$A$3:$B$346,2,0))</f>
        <v>Banques cpte en monnaie nationale</v>
      </c>
    </row>
    <row r="417" spans="1:9">
      <c r="A417" s="1206"/>
      <c r="B417" s="606"/>
      <c r="C417" s="1046"/>
      <c r="D417" s="1048"/>
      <c r="E417" s="1068"/>
      <c r="F417" s="1044"/>
      <c r="G417" s="1077">
        <f t="shared" si="6"/>
        <v>0</v>
      </c>
      <c r="H417" s="1042" t="str">
        <f>IF(C417="","",VLOOKUP(C417,Compte!$A$3:$B$346,2,0))</f>
        <v/>
      </c>
      <c r="I417" s="1043" t="str">
        <f>IF(D417="","",VLOOKUP(D417,Compte!$A$3:$B$346,2,0))</f>
        <v/>
      </c>
    </row>
    <row r="418" spans="1:9">
      <c r="A418" s="1206"/>
      <c r="B418" s="606" t="s">
        <v>855</v>
      </c>
      <c r="C418" s="1046">
        <v>249</v>
      </c>
      <c r="D418" s="1048"/>
      <c r="E418" s="1068">
        <v>50000</v>
      </c>
      <c r="F418" s="1044"/>
      <c r="G418" s="1077">
        <f t="shared" si="6"/>
        <v>50000</v>
      </c>
      <c r="H418" s="1042" t="str">
        <f>IF(C418="","",VLOOKUP(C418,Compte!$A$3:$B$346,2,0))</f>
        <v>Autres immobilisations corporelles en cours</v>
      </c>
      <c r="I418" s="1043" t="str">
        <f>IF(D418="","",VLOOKUP(D418,Compte!$A$3:$B$346,2,0))</f>
        <v/>
      </c>
    </row>
    <row r="419" spans="1:9">
      <c r="A419" s="1206"/>
      <c r="B419" s="606" t="s">
        <v>177</v>
      </c>
      <c r="C419" s="1046"/>
      <c r="D419" s="1048">
        <v>7500</v>
      </c>
      <c r="E419" s="1068"/>
      <c r="F419" s="1044">
        <v>50000</v>
      </c>
      <c r="G419" s="1077">
        <f t="shared" si="6"/>
        <v>50000</v>
      </c>
      <c r="H419" s="1042" t="str">
        <f>IF(C419="","",VLOOKUP(C419,Compte!$A$3:$B$346,2,0))</f>
        <v/>
      </c>
      <c r="I419" s="1043" t="str">
        <f>IF(D419="","",VLOOKUP(D419,Compte!$A$3:$B$346,2,0))</f>
        <v>Frais de port , livraison &amp; Autres produits</v>
      </c>
    </row>
    <row r="420" spans="1:9">
      <c r="A420" s="1206"/>
      <c r="B420" s="606" t="s">
        <v>856</v>
      </c>
      <c r="C420" s="1047">
        <v>231</v>
      </c>
      <c r="D420" s="1048"/>
      <c r="E420" s="1068">
        <v>80000</v>
      </c>
      <c r="F420" s="1044"/>
      <c r="G420" s="1077">
        <f t="shared" si="6"/>
        <v>80000</v>
      </c>
      <c r="H420" s="1042" t="str">
        <f>IF(C420="","",VLOOKUP(C420,Compte!$A$3:$B$346,2,0))</f>
        <v>Bâtiments sur sol propre</v>
      </c>
      <c r="I420" s="1043" t="str">
        <f>IF(D420="","",VLOOKUP(D420,Compte!$A$3:$B$346,2,0))</f>
        <v/>
      </c>
    </row>
    <row r="421" spans="1:9">
      <c r="A421" s="1206"/>
      <c r="B421" s="606" t="s">
        <v>853</v>
      </c>
      <c r="C421" s="1046">
        <v>44512</v>
      </c>
      <c r="D421" s="1048"/>
      <c r="E421" s="1068">
        <v>2000</v>
      </c>
      <c r="F421" s="1044"/>
      <c r="G421" s="1077">
        <f t="shared" si="6"/>
        <v>2000</v>
      </c>
      <c r="H421" s="1042" t="str">
        <f>IF(C421="","",VLOOKUP(C421,Compte!$A$3:$B$346,2,0))</f>
        <v>T.V.A. récupérable sur immobilisations à taux normal</v>
      </c>
      <c r="I421" s="1043" t="str">
        <f>IF(D421="","",VLOOKUP(D421,Compte!$A$3:$B$346,2,0))</f>
        <v/>
      </c>
    </row>
    <row r="422" spans="1:9">
      <c r="A422" s="1206"/>
      <c r="B422" s="606" t="s">
        <v>854</v>
      </c>
      <c r="C422" s="1046"/>
      <c r="D422" s="1048">
        <v>249</v>
      </c>
      <c r="E422" s="1068"/>
      <c r="F422" s="1044">
        <v>50000</v>
      </c>
      <c r="G422" s="1077">
        <f t="shared" si="6"/>
        <v>50000</v>
      </c>
      <c r="H422" s="1042" t="str">
        <f>IF(C422="","",VLOOKUP(C422,Compte!$A$3:$B$346,2,0))</f>
        <v/>
      </c>
      <c r="I422" s="1043" t="str">
        <f>IF(D422="","",VLOOKUP(D422,Compte!$A$3:$B$346,2,0))</f>
        <v>Autres immobilisations corporelles en cours</v>
      </c>
    </row>
    <row r="423" spans="1:9">
      <c r="A423" s="1206"/>
      <c r="B423" s="606" t="s">
        <v>587</v>
      </c>
      <c r="C423" s="1046"/>
      <c r="D423" s="1048">
        <v>44312</v>
      </c>
      <c r="E423" s="1068"/>
      <c r="F423" s="1044">
        <v>2000</v>
      </c>
      <c r="G423" s="1077">
        <f t="shared" si="6"/>
        <v>2000</v>
      </c>
      <c r="H423" s="1042" t="str">
        <f>IF(C423="","",VLOOKUP(C423,Compte!$A$3:$B$346,2,0))</f>
        <v/>
      </c>
      <c r="I423" s="1043" t="str">
        <f>IF(D423="","",VLOOKUP(D423,Compte!$A$3:$B$346,2,0))</f>
        <v>T.V.A. facturée sur ventes à taux normal</v>
      </c>
    </row>
    <row r="424" spans="1:9">
      <c r="A424" s="1206"/>
      <c r="B424" s="606" t="s">
        <v>177</v>
      </c>
      <c r="C424" s="1046"/>
      <c r="D424" s="1048">
        <v>7500</v>
      </c>
      <c r="E424" s="1068"/>
      <c r="F424" s="1044">
        <v>30000</v>
      </c>
      <c r="G424" s="1077">
        <f t="shared" si="6"/>
        <v>30000</v>
      </c>
      <c r="H424" s="1042" t="str">
        <f>IF(C424="","",VLOOKUP(C424,Compte!$A$3:$B$346,2,0))</f>
        <v/>
      </c>
      <c r="I424" s="1043" t="str">
        <f>IF(D424="","",VLOOKUP(D424,Compte!$A$3:$B$346,2,0))</f>
        <v>Frais de port , livraison &amp; Autres produits</v>
      </c>
    </row>
    <row r="425" spans="1:9">
      <c r="A425" s="1206"/>
      <c r="B425" s="606"/>
      <c r="C425" s="1046"/>
      <c r="D425" s="1048"/>
      <c r="E425" s="1068"/>
      <c r="F425" s="1044"/>
      <c r="G425" s="1077">
        <f t="shared" si="6"/>
        <v>0</v>
      </c>
      <c r="H425" s="1042" t="str">
        <f>IF(C425="","",VLOOKUP(C425,Compte!$A$3:$B$346,2,0))</f>
        <v/>
      </c>
      <c r="I425" s="1043" t="str">
        <f>IF(D425="","",VLOOKUP(D425,Compte!$A$3:$B$346,2,0))</f>
        <v/>
      </c>
    </row>
    <row r="426" spans="1:9">
      <c r="A426" s="1206"/>
      <c r="B426" s="606" t="s">
        <v>857</v>
      </c>
      <c r="C426" s="1046">
        <v>279</v>
      </c>
      <c r="D426" s="1048"/>
      <c r="E426" s="1068">
        <v>10200</v>
      </c>
      <c r="F426" s="1044"/>
      <c r="G426" s="1077">
        <f t="shared" si="6"/>
        <v>10200</v>
      </c>
      <c r="H426" s="1042" t="str">
        <f>IF(C426="","",VLOOKUP(C426,Compte!$A$3:$B$346,2,0))</f>
        <v xml:space="preserve"> Autres créances</v>
      </c>
      <c r="I426" s="1043" t="str">
        <f>IF(D426="","",VLOOKUP(D426,Compte!$A$3:$B$346,2,0))</f>
        <v/>
      </c>
    </row>
    <row r="427" spans="1:9">
      <c r="A427" s="1206"/>
      <c r="B427" s="606" t="s">
        <v>587</v>
      </c>
      <c r="C427" s="1046"/>
      <c r="D427" s="1048">
        <v>44312</v>
      </c>
      <c r="E427" s="1068"/>
      <c r="F427" s="1044">
        <v>200</v>
      </c>
      <c r="G427" s="1077">
        <f t="shared" si="6"/>
        <v>200</v>
      </c>
      <c r="H427" s="1042" t="str">
        <f>IF(C427="","",VLOOKUP(C427,Compte!$A$3:$B$346,2,0))</f>
        <v/>
      </c>
      <c r="I427" s="1043" t="str">
        <f>IF(D427="","",VLOOKUP(D427,Compte!$A$3:$B$346,2,0))</f>
        <v>T.V.A. facturée sur ventes à taux normal</v>
      </c>
    </row>
    <row r="428" spans="1:9">
      <c r="A428" s="1206"/>
      <c r="B428" s="606" t="s">
        <v>858</v>
      </c>
      <c r="C428" s="1046"/>
      <c r="D428" s="1048">
        <v>8220</v>
      </c>
      <c r="E428" s="1068"/>
      <c r="F428" s="1044">
        <v>10000</v>
      </c>
      <c r="G428" s="1077">
        <f t="shared" si="6"/>
        <v>10000</v>
      </c>
      <c r="H428" s="1042" t="str">
        <f>IF(C428="","",VLOOKUP(C428,Compte!$A$3:$B$346,2,0))</f>
        <v/>
      </c>
      <c r="I428" s="1043" t="str">
        <f>IF(D428="","",VLOOKUP(D428,Compte!$A$3:$B$346,2,0))</f>
        <v>Produit de cession sur les immob. Corporelles</v>
      </c>
    </row>
    <row r="429" spans="1:9">
      <c r="A429" s="1206"/>
      <c r="B429" s="606" t="s">
        <v>859</v>
      </c>
      <c r="C429" s="1047">
        <v>2841</v>
      </c>
      <c r="D429" s="1048"/>
      <c r="E429" s="1068">
        <v>9000</v>
      </c>
      <c r="F429" s="1044"/>
      <c r="G429" s="1077">
        <f t="shared" si="6"/>
        <v>9000</v>
      </c>
      <c r="H429" s="1042" t="str">
        <f>IF(C429="","",VLOOKUP(C429,Compte!$A$3:$B$346,2,0))</f>
        <v>Amort. mat-outillage industriels.</v>
      </c>
      <c r="I429" s="1043" t="str">
        <f>IF(D429="","",VLOOKUP(D429,Compte!$A$3:$B$346,2,0))</f>
        <v/>
      </c>
    </row>
    <row r="430" spans="1:9">
      <c r="A430" s="1206"/>
      <c r="B430" s="606" t="s">
        <v>860</v>
      </c>
      <c r="C430" s="1046">
        <v>812</v>
      </c>
      <c r="D430" s="1048"/>
      <c r="E430" s="1068">
        <v>500</v>
      </c>
      <c r="F430" s="1044"/>
      <c r="G430" s="1077">
        <f t="shared" si="6"/>
        <v>500</v>
      </c>
      <c r="H430" s="1042" t="str">
        <f>IF(C430="","",VLOOKUP(C430,Compte!$A$3:$B$346,2,0))</f>
        <v>Valeurs comptables cess. Immob. Corpo</v>
      </c>
      <c r="I430" s="1043" t="str">
        <f>IF(D430="","",VLOOKUP(D430,Compte!$A$3:$B$346,2,0))</f>
        <v/>
      </c>
    </row>
    <row r="431" spans="1:9">
      <c r="A431" s="1206"/>
      <c r="B431" s="606" t="s">
        <v>696</v>
      </c>
      <c r="C431" s="1046"/>
      <c r="D431" s="1050">
        <v>241</v>
      </c>
      <c r="E431" s="1068"/>
      <c r="F431" s="1044">
        <v>9500</v>
      </c>
      <c r="G431" s="1077">
        <f t="shared" si="6"/>
        <v>9500</v>
      </c>
      <c r="H431" s="1042" t="str">
        <f>IF(C431="","",VLOOKUP(C431,Compte!$A$3:$B$346,2,0))</f>
        <v/>
      </c>
      <c r="I431" s="1043" t="str">
        <f>IF(D431="","",VLOOKUP(D431,Compte!$A$3:$B$346,2,0))</f>
        <v>Matériel, outillage industriel et commercial</v>
      </c>
    </row>
    <row r="432" spans="1:9">
      <c r="A432" s="1206"/>
      <c r="B432" s="606"/>
      <c r="C432" s="1046"/>
      <c r="D432" s="1050"/>
      <c r="E432" s="1068"/>
      <c r="F432" s="1044"/>
      <c r="G432" s="1077">
        <f t="shared" si="6"/>
        <v>0</v>
      </c>
      <c r="H432" s="1042" t="str">
        <f>IF(C432="","",VLOOKUP(C432,Compte!$A$3:$B$346,2,0))</f>
        <v/>
      </c>
      <c r="I432" s="1043" t="str">
        <f>IF(D432="","",VLOOKUP(D432,Compte!$A$3:$B$346,2,0))</f>
        <v/>
      </c>
    </row>
    <row r="433" spans="1:9">
      <c r="A433" s="1206"/>
      <c r="B433" s="606" t="s">
        <v>982</v>
      </c>
      <c r="C433" s="1046">
        <v>279</v>
      </c>
      <c r="D433" s="1048"/>
      <c r="E433" s="1068">
        <v>20200</v>
      </c>
      <c r="F433" s="1044"/>
      <c r="G433" s="1077">
        <f t="shared" si="6"/>
        <v>20200</v>
      </c>
      <c r="H433" s="1042" t="str">
        <f>IF(C433="","",VLOOKUP(C433,Compte!$A$3:$B$346,2,0))</f>
        <v xml:space="preserve"> Autres créances</v>
      </c>
      <c r="I433" s="1043" t="str">
        <f>IF(D433="","",VLOOKUP(D433,Compte!$A$3:$B$346,2,0))</f>
        <v/>
      </c>
    </row>
    <row r="434" spans="1:9">
      <c r="A434" s="1206"/>
      <c r="B434" s="606" t="s">
        <v>587</v>
      </c>
      <c r="C434" s="1046"/>
      <c r="D434" s="1048">
        <v>44312</v>
      </c>
      <c r="E434" s="1068"/>
      <c r="F434" s="1044">
        <v>200</v>
      </c>
      <c r="G434" s="1077">
        <f t="shared" si="6"/>
        <v>200</v>
      </c>
      <c r="H434" s="1042" t="str">
        <f>IF(C434="","",VLOOKUP(C434,Compte!$A$3:$B$346,2,0))</f>
        <v/>
      </c>
      <c r="I434" s="1043" t="str">
        <f>IF(D434="","",VLOOKUP(D434,Compte!$A$3:$B$346,2,0))</f>
        <v>T.V.A. facturée sur ventes à taux normal</v>
      </c>
    </row>
    <row r="435" spans="1:9">
      <c r="A435" s="1206"/>
      <c r="B435" s="606" t="s">
        <v>858</v>
      </c>
      <c r="C435" s="1046"/>
      <c r="D435" s="1048">
        <v>8220</v>
      </c>
      <c r="E435" s="1068"/>
      <c r="F435" s="1044">
        <v>20000</v>
      </c>
      <c r="G435" s="1077">
        <f t="shared" si="6"/>
        <v>20000</v>
      </c>
      <c r="H435" s="1042" t="str">
        <f>IF(C435="","",VLOOKUP(C435,Compte!$A$3:$B$346,2,0))</f>
        <v/>
      </c>
      <c r="I435" s="1043" t="str">
        <f>IF(D435="","",VLOOKUP(D435,Compte!$A$3:$B$346,2,0))</f>
        <v>Produit de cession sur les immob. Corporelles</v>
      </c>
    </row>
    <row r="436" spans="1:9">
      <c r="A436" s="1206"/>
      <c r="B436" s="606" t="s">
        <v>861</v>
      </c>
      <c r="C436" s="1046">
        <v>812</v>
      </c>
      <c r="D436" s="1048"/>
      <c r="E436" s="1068">
        <v>15000</v>
      </c>
      <c r="F436" s="1044"/>
      <c r="G436" s="1077">
        <f t="shared" si="6"/>
        <v>15000</v>
      </c>
      <c r="H436" s="1042" t="str">
        <f>IF(C436="","",VLOOKUP(C436,Compte!$A$3:$B$346,2,0))</f>
        <v>Valeurs comptables cess. Immob. Corpo</v>
      </c>
      <c r="I436" s="1043" t="str">
        <f>IF(D436="","",VLOOKUP(D436,Compte!$A$3:$B$346,2,0))</f>
        <v/>
      </c>
    </row>
    <row r="437" spans="1:9">
      <c r="A437" s="1206"/>
      <c r="B437" s="606" t="s">
        <v>862</v>
      </c>
      <c r="C437" s="1046"/>
      <c r="D437" s="1048">
        <v>221</v>
      </c>
      <c r="E437" s="1068"/>
      <c r="F437" s="1044">
        <v>15000</v>
      </c>
      <c r="G437" s="1077">
        <f t="shared" si="6"/>
        <v>15000</v>
      </c>
      <c r="H437" s="1042" t="str">
        <f>IF(C437="","",VLOOKUP(C437,Compte!$A$3:$B$346,2,0))</f>
        <v/>
      </c>
      <c r="I437" s="1043" t="str">
        <f>IF(D437="","",VLOOKUP(D437,Compte!$A$3:$B$346,2,0))</f>
        <v>Terrains agricoles, forestiers, nu, bâtit</v>
      </c>
    </row>
    <row r="438" spans="1:9">
      <c r="A438" s="1206"/>
      <c r="B438" s="606"/>
      <c r="C438" s="1046"/>
      <c r="D438" s="1048"/>
      <c r="E438" s="1068"/>
      <c r="F438" s="1044"/>
      <c r="G438" s="1077">
        <f t="shared" si="6"/>
        <v>0</v>
      </c>
      <c r="H438" s="1042" t="str">
        <f>IF(C438="","",VLOOKUP(C438,Compte!$A$3:$B$346,2,0))</f>
        <v/>
      </c>
      <c r="I438" s="1043" t="str">
        <f>IF(D438="","",VLOOKUP(D438,Compte!$A$3:$B$346,2,0))</f>
        <v/>
      </c>
    </row>
    <row r="439" spans="1:9">
      <c r="A439" s="1206"/>
      <c r="B439" s="606" t="s">
        <v>983</v>
      </c>
      <c r="C439" s="1046">
        <v>221</v>
      </c>
      <c r="D439" s="1048"/>
      <c r="E439" s="1068">
        <v>50000</v>
      </c>
      <c r="F439" s="1044"/>
      <c r="G439" s="1077">
        <f t="shared" si="6"/>
        <v>50000</v>
      </c>
      <c r="H439" s="1042" t="str">
        <f>IF(C439="","",VLOOKUP(C439,Compte!$A$3:$B$346,2,0))</f>
        <v>Terrains agricoles, forestiers, nu, bâtit</v>
      </c>
      <c r="I439" s="1043" t="str">
        <f>IF(D439="","",VLOOKUP(D439,Compte!$A$3:$B$346,2,0))</f>
        <v/>
      </c>
    </row>
    <row r="440" spans="1:9">
      <c r="A440" s="1206"/>
      <c r="B440" s="606" t="s">
        <v>846</v>
      </c>
      <c r="C440" s="1046">
        <v>6324</v>
      </c>
      <c r="D440" s="1048"/>
      <c r="E440" s="1068">
        <v>5000</v>
      </c>
      <c r="F440" s="1044"/>
      <c r="G440" s="1077">
        <f t="shared" si="6"/>
        <v>5000</v>
      </c>
      <c r="H440" s="1042" t="str">
        <f>IF(C440="","",VLOOKUP(C440,Compte!$A$3:$B$346,2,0))</f>
        <v>Honoraires</v>
      </c>
      <c r="I440" s="1043" t="str">
        <f>IF(D440="","",VLOOKUP(D440,Compte!$A$3:$B$346,2,0))</f>
        <v/>
      </c>
    </row>
    <row r="441" spans="1:9">
      <c r="A441" s="1206"/>
      <c r="B441" s="606" t="s">
        <v>867</v>
      </c>
      <c r="C441" s="1046">
        <v>6350</v>
      </c>
      <c r="D441" s="1048"/>
      <c r="E441" s="1068">
        <v>300</v>
      </c>
      <c r="F441" s="1044"/>
      <c r="G441" s="1077">
        <f t="shared" si="6"/>
        <v>300</v>
      </c>
      <c r="H441" s="1042" t="str">
        <f>IF(C441="","",VLOOKUP(C441,Compte!$A$3:$B$346,2,0))</f>
        <v>Autres impôts, droit et autres enregistrements</v>
      </c>
      <c r="I441" s="1043" t="str">
        <f>IF(D441="","",VLOOKUP(D441,Compte!$A$3:$B$346,2,0))</f>
        <v/>
      </c>
    </row>
    <row r="442" spans="1:9">
      <c r="A442" s="1206"/>
      <c r="B442" s="606" t="s">
        <v>868</v>
      </c>
      <c r="C442" s="1046">
        <v>44522</v>
      </c>
      <c r="D442" s="1048"/>
      <c r="E442" s="1068">
        <v>1000</v>
      </c>
      <c r="F442" s="1044"/>
      <c r="G442" s="1077">
        <f t="shared" si="6"/>
        <v>1000</v>
      </c>
      <c r="H442" s="1042" t="str">
        <f>IF(C442="","",VLOOKUP(C442,Compte!$A$3:$B$346,2,0))</f>
        <v>T.V.A. récupérable sur achats a taux normal</v>
      </c>
      <c r="I442" s="1043" t="str">
        <f>IF(D442="","",VLOOKUP(D442,Compte!$A$3:$B$346,2,0))</f>
        <v/>
      </c>
    </row>
    <row r="443" spans="1:9">
      <c r="A443" s="1206"/>
      <c r="B443" s="606" t="s">
        <v>830</v>
      </c>
      <c r="C443" s="1046"/>
      <c r="D443" s="1048">
        <v>520</v>
      </c>
      <c r="E443" s="1068"/>
      <c r="F443" s="1044">
        <v>56300</v>
      </c>
      <c r="G443" s="1077">
        <f t="shared" si="6"/>
        <v>56300</v>
      </c>
      <c r="H443" s="1042" t="str">
        <f>IF(C443="","",VLOOKUP(C443,Compte!$A$3:$B$346,2,0))</f>
        <v/>
      </c>
      <c r="I443" s="1043" t="str">
        <f>IF(D443="","",VLOOKUP(D443,Compte!$A$3:$B$346,2,0))</f>
        <v>Banques cpte en monnaie nationale</v>
      </c>
    </row>
    <row r="444" spans="1:9">
      <c r="A444" s="1206"/>
      <c r="B444" s="606" t="s">
        <v>869</v>
      </c>
      <c r="C444" s="1046">
        <v>6970</v>
      </c>
      <c r="D444" s="1048">
        <v>1982</v>
      </c>
      <c r="E444" s="1068">
        <v>10000</v>
      </c>
      <c r="F444" s="1044">
        <v>10000</v>
      </c>
      <c r="G444" s="1077">
        <f t="shared" si="6"/>
        <v>10000</v>
      </c>
      <c r="H444" s="1042" t="str">
        <f>IF(C444="","",VLOOKUP(C444,Compte!$A$3:$B$346,2,0))</f>
        <v>Dotat. aux provis. Financières</v>
      </c>
      <c r="I444" s="1043" t="str">
        <f>IF(D444="","",VLOOKUP(D444,Compte!$A$3:$B$346,2,0))</f>
        <v>Provisions sur des immobilisations</v>
      </c>
    </row>
    <row r="445" spans="1:9">
      <c r="A445" s="1206"/>
      <c r="B445" s="606" t="s">
        <v>870</v>
      </c>
      <c r="C445" s="1046">
        <v>279</v>
      </c>
      <c r="D445" s="1048"/>
      <c r="E445" s="1068">
        <v>60000</v>
      </c>
      <c r="F445" s="1044"/>
      <c r="G445" s="1077">
        <f t="shared" si="6"/>
        <v>60000</v>
      </c>
      <c r="H445" s="1042" t="str">
        <f>IF(C445="","",VLOOKUP(C445,Compte!$A$3:$B$346,2,0))</f>
        <v xml:space="preserve"> Autres créances</v>
      </c>
      <c r="I445" s="1043" t="str">
        <f>IF(D445="","",VLOOKUP(D445,Compte!$A$3:$B$346,2,0))</f>
        <v/>
      </c>
    </row>
    <row r="446" spans="1:9">
      <c r="A446" s="1206"/>
      <c r="B446" s="606" t="s">
        <v>587</v>
      </c>
      <c r="C446" s="1046"/>
      <c r="D446" s="1048">
        <v>44312</v>
      </c>
      <c r="E446" s="1068"/>
      <c r="F446" s="1044">
        <v>2000</v>
      </c>
      <c r="G446" s="1077">
        <f t="shared" si="6"/>
        <v>2000</v>
      </c>
      <c r="H446" s="1042" t="str">
        <f>IF(C446="","",VLOOKUP(C446,Compte!$A$3:$B$346,2,0))</f>
        <v/>
      </c>
      <c r="I446" s="1043" t="str">
        <f>IF(D446="","",VLOOKUP(D446,Compte!$A$3:$B$346,2,0))</f>
        <v>T.V.A. facturée sur ventes à taux normal</v>
      </c>
    </row>
    <row r="447" spans="1:9">
      <c r="A447" s="1206"/>
      <c r="B447" s="606" t="s">
        <v>871</v>
      </c>
      <c r="C447" s="1046"/>
      <c r="D447" s="1048">
        <v>8220</v>
      </c>
      <c r="E447" s="1068"/>
      <c r="F447" s="1044">
        <v>58000</v>
      </c>
      <c r="G447" s="1077">
        <f t="shared" si="6"/>
        <v>58000</v>
      </c>
      <c r="H447" s="1042" t="str">
        <f>IF(C447="","",VLOOKUP(C447,Compte!$A$3:$B$346,2,0))</f>
        <v/>
      </c>
      <c r="I447" s="1043" t="str">
        <f>IF(D447="","",VLOOKUP(D447,Compte!$A$3:$B$346,2,0))</f>
        <v>Produit de cession sur les immob. Corporelles</v>
      </c>
    </row>
    <row r="448" spans="1:9">
      <c r="A448" s="1206"/>
      <c r="B448" s="606" t="s">
        <v>872</v>
      </c>
      <c r="C448" s="1046">
        <v>812</v>
      </c>
      <c r="D448" s="1048"/>
      <c r="E448" s="1068">
        <v>50000</v>
      </c>
      <c r="F448" s="1044"/>
      <c r="G448" s="1077">
        <f t="shared" si="6"/>
        <v>50000</v>
      </c>
      <c r="H448" s="1042" t="str">
        <f>IF(C448="","",VLOOKUP(C448,Compte!$A$3:$B$346,2,0))</f>
        <v>Valeurs comptables cess. Immob. Corpo</v>
      </c>
      <c r="I448" s="1043" t="str">
        <f>IF(D448="","",VLOOKUP(D448,Compte!$A$3:$B$346,2,0))</f>
        <v/>
      </c>
    </row>
    <row r="449" spans="1:9">
      <c r="A449" s="1206"/>
      <c r="B449" s="606" t="s">
        <v>873</v>
      </c>
      <c r="C449" s="1046"/>
      <c r="D449" s="1048">
        <v>221</v>
      </c>
      <c r="E449" s="1068"/>
      <c r="F449" s="1044">
        <v>50000</v>
      </c>
      <c r="G449" s="1077">
        <f t="shared" si="6"/>
        <v>50000</v>
      </c>
      <c r="H449" s="1042" t="str">
        <f>IF(C449="","",VLOOKUP(C449,Compte!$A$3:$B$346,2,0))</f>
        <v/>
      </c>
      <c r="I449" s="1043" t="str">
        <f>IF(D449="","",VLOOKUP(D449,Compte!$A$3:$B$346,2,0))</f>
        <v>Terrains agricoles, forestiers, nu, bâtit</v>
      </c>
    </row>
    <row r="450" spans="1:9">
      <c r="A450" s="1206"/>
      <c r="B450" s="606" t="s">
        <v>874</v>
      </c>
      <c r="C450" s="1046">
        <v>1982</v>
      </c>
      <c r="D450" s="1048"/>
      <c r="E450" s="1068">
        <v>10000</v>
      </c>
      <c r="F450" s="1044"/>
      <c r="G450" s="1077">
        <f t="shared" si="6"/>
        <v>10000</v>
      </c>
      <c r="H450" s="1042" t="str">
        <f>IF(C450="","",VLOOKUP(C450,Compte!$A$3:$B$346,2,0))</f>
        <v>Provisions sur des immobilisations</v>
      </c>
      <c r="I450" s="1043" t="str">
        <f>IF(D450="","",VLOOKUP(D450,Compte!$A$3:$B$346,2,0))</f>
        <v/>
      </c>
    </row>
    <row r="451" spans="1:9">
      <c r="A451" s="1206"/>
      <c r="B451" s="606" t="s">
        <v>874</v>
      </c>
      <c r="C451" s="1046"/>
      <c r="D451" s="1048">
        <v>849</v>
      </c>
      <c r="E451" s="1068"/>
      <c r="F451" s="1044">
        <v>10000</v>
      </c>
      <c r="G451" s="1077">
        <f t="shared" si="6"/>
        <v>10000</v>
      </c>
      <c r="H451" s="1042" t="str">
        <f>IF(C451="","",VLOOKUP(C451,Compte!$A$3:$B$346,2,0))</f>
        <v/>
      </c>
      <c r="I451" s="1043" t="str">
        <f>IF(D451="","",VLOOKUP(D451,Compte!$A$3:$B$346,2,0))</f>
        <v>Reprises sur Charges provisionnées H.A.O.</v>
      </c>
    </row>
    <row r="452" spans="1:9">
      <c r="A452" s="1206"/>
      <c r="B452" s="606"/>
      <c r="C452" s="1046"/>
      <c r="D452" s="1048"/>
      <c r="E452" s="1583"/>
      <c r="F452" s="1583"/>
      <c r="G452" s="1077">
        <f t="shared" si="6"/>
        <v>0</v>
      </c>
      <c r="H452" s="1042" t="str">
        <f>IF(C452="","",VLOOKUP(C452,Compte!$A$3:$B$346,2,0))</f>
        <v/>
      </c>
      <c r="I452" s="1043" t="str">
        <f>IF(D452="","",VLOOKUP(D452,Compte!$A$3:$B$346,2,0))</f>
        <v/>
      </c>
    </row>
    <row r="453" spans="1:9">
      <c r="A453" s="1206"/>
      <c r="B453" s="606" t="s">
        <v>875</v>
      </c>
      <c r="C453" s="1046">
        <v>6970</v>
      </c>
      <c r="D453" s="1048">
        <v>1971</v>
      </c>
      <c r="E453" s="1068">
        <v>3000</v>
      </c>
      <c r="F453" s="1068">
        <v>3000</v>
      </c>
      <c r="G453" s="1077">
        <f t="shared" si="6"/>
        <v>3000</v>
      </c>
      <c r="H453" s="1042" t="str">
        <f>IF(C453="","",VLOOKUP(C453,Compte!$A$3:$B$346,2,0))</f>
        <v>Dotat. aux provis. Financières</v>
      </c>
      <c r="I453" s="1043" t="str">
        <f>IF(D453="","",VLOOKUP(D453,Compte!$A$3:$B$346,2,0))</f>
        <v>Provisions pour grosses réparations</v>
      </c>
    </row>
    <row r="454" spans="1:9">
      <c r="A454" s="1206"/>
      <c r="B454" s="606" t="s">
        <v>1558</v>
      </c>
      <c r="C454" s="1046">
        <v>6243</v>
      </c>
      <c r="D454" s="1048"/>
      <c r="E454" s="1068">
        <v>10000</v>
      </c>
      <c r="F454" s="1044"/>
      <c r="G454" s="1077">
        <f t="shared" si="6"/>
        <v>10000</v>
      </c>
      <c r="H454" s="1042" t="str">
        <f>IF(C454="","",VLOOKUP(C454,Compte!$A$3:$B$346,2,0))</f>
        <v>Maintenance  des appareils et outillages et autres entretiens</v>
      </c>
      <c r="I454" s="1043" t="str">
        <f>IF(D454="","",VLOOKUP(D454,Compte!$A$3:$B$346,2,0))</f>
        <v/>
      </c>
    </row>
    <row r="455" spans="1:9">
      <c r="A455" s="1206"/>
      <c r="B455" s="606" t="s">
        <v>809</v>
      </c>
      <c r="C455" s="1046">
        <v>44521</v>
      </c>
      <c r="D455" s="1048"/>
      <c r="E455" s="1068">
        <v>200</v>
      </c>
      <c r="F455" s="1044"/>
      <c r="G455" s="1077">
        <f t="shared" si="6"/>
        <v>200</v>
      </c>
      <c r="H455" s="1042" t="str">
        <f>IF(C455="","",VLOOKUP(C455,Compte!$A$3:$B$346,2,0))</f>
        <v>T.V.A. récupérable sur achats a taux réduit</v>
      </c>
      <c r="I455" s="1043" t="str">
        <f>IF(D455="","",VLOOKUP(D455,Compte!$A$3:$B$346,2,0))</f>
        <v/>
      </c>
    </row>
    <row r="456" spans="1:9">
      <c r="A456" s="1206"/>
      <c r="B456" s="606" t="s">
        <v>825</v>
      </c>
      <c r="C456" s="1046"/>
      <c r="D456" s="1048">
        <v>4011</v>
      </c>
      <c r="E456" s="1068"/>
      <c r="F456" s="1044">
        <v>10200</v>
      </c>
      <c r="G456" s="1077">
        <f t="shared" ref="G456:G519" si="7">IF(C456="",F456,E456)</f>
        <v>10200</v>
      </c>
      <c r="H456" s="1042" t="str">
        <f>IF(C456="","",VLOOKUP(C456,Compte!$A$3:$B$346,2,0))</f>
        <v/>
      </c>
      <c r="I456" s="1043" t="str">
        <f>IF(D456="","",VLOOKUP(D456,Compte!$A$3:$B$346,2,0))</f>
        <v>Fournisseurs</v>
      </c>
    </row>
    <row r="457" spans="1:9">
      <c r="A457" s="1206"/>
      <c r="B457" s="606" t="s">
        <v>876</v>
      </c>
      <c r="C457" s="1046">
        <v>4011</v>
      </c>
      <c r="D457" s="1048">
        <v>520</v>
      </c>
      <c r="E457" s="1068">
        <v>10200</v>
      </c>
      <c r="F457" s="1068">
        <v>10200</v>
      </c>
      <c r="G457" s="1077">
        <f t="shared" si="7"/>
        <v>10200</v>
      </c>
      <c r="H457" s="1042" t="str">
        <f>IF(C457="","",VLOOKUP(C457,Compte!$A$3:$B$346,2,0))</f>
        <v>Fournisseurs</v>
      </c>
      <c r="I457" s="1043" t="str">
        <f>IF(D457="","",VLOOKUP(D457,Compte!$A$3:$B$346,2,0))</f>
        <v>Banques cpte en monnaie nationale</v>
      </c>
    </row>
    <row r="458" spans="1:9">
      <c r="A458" s="1206"/>
      <c r="B458" s="606" t="s">
        <v>877</v>
      </c>
      <c r="C458" s="1046">
        <v>1971</v>
      </c>
      <c r="D458" s="1048">
        <v>7791</v>
      </c>
      <c r="E458" s="1068">
        <v>3000</v>
      </c>
      <c r="F458" s="1044">
        <v>3000</v>
      </c>
      <c r="G458" s="1077">
        <f t="shared" si="7"/>
        <v>3000</v>
      </c>
      <c r="H458" s="1042" t="str">
        <f>IF(C458="","",VLOOKUP(C458,Compte!$A$3:$B$346,2,0))</f>
        <v>Provisions pour grosses réparations</v>
      </c>
      <c r="I458" s="1043" t="str">
        <f>IF(D458="","",VLOOKUP(D458,Compte!$A$3:$B$346,2,0))</f>
        <v>Reprise Sur risques financiers</v>
      </c>
    </row>
    <row r="459" spans="1:9">
      <c r="A459" s="1206"/>
      <c r="B459" s="606"/>
      <c r="C459" s="1046"/>
      <c r="D459" s="1048"/>
      <c r="E459" s="1068"/>
      <c r="F459" s="1044"/>
      <c r="G459" s="1077">
        <f t="shared" si="7"/>
        <v>0</v>
      </c>
      <c r="H459" s="1042" t="str">
        <f>IF(C459="","",VLOOKUP(C459,Compte!$A$3:$B$346,2,0))</f>
        <v/>
      </c>
      <c r="I459" s="1043" t="str">
        <f>IF(D459="","",VLOOKUP(D459,Compte!$A$3:$B$346,2,0))</f>
        <v/>
      </c>
    </row>
    <row r="460" spans="1:9">
      <c r="A460" s="1206"/>
      <c r="B460" s="606" t="s">
        <v>878</v>
      </c>
      <c r="C460" s="1046">
        <v>6812</v>
      </c>
      <c r="D460" s="1048">
        <v>2812</v>
      </c>
      <c r="E460" s="1044">
        <v>1000</v>
      </c>
      <c r="F460" s="1044">
        <v>1000</v>
      </c>
      <c r="G460" s="1077">
        <f t="shared" si="7"/>
        <v>1000</v>
      </c>
      <c r="H460" s="1042" t="str">
        <f>IF(C460="","",VLOOKUP(C460,Compte!$A$3:$B$346,2,0))</f>
        <v>Dotations aux amortissements des immobilisations incorporelles</v>
      </c>
      <c r="I460" s="1043" t="str">
        <f>IF(D460="","",VLOOKUP(D460,Compte!$A$3:$B$346,2,0))</f>
        <v>Amortissements. : brevets, licences</v>
      </c>
    </row>
    <row r="461" spans="1:9">
      <c r="A461" s="1206"/>
      <c r="B461" s="606" t="s">
        <v>879</v>
      </c>
      <c r="C461" s="1046">
        <v>6812</v>
      </c>
      <c r="D461" s="1048">
        <v>2813</v>
      </c>
      <c r="E461" s="1044">
        <v>1000</v>
      </c>
      <c r="F461" s="1044">
        <v>1000</v>
      </c>
      <c r="G461" s="1077">
        <f t="shared" si="7"/>
        <v>1000</v>
      </c>
      <c r="H461" s="1042" t="str">
        <f>IF(C461="","",VLOOKUP(C461,Compte!$A$3:$B$346,2,0))</f>
        <v>Dotations aux amortissements des immobilisations incorporelles</v>
      </c>
      <c r="I461" s="1043" t="str">
        <f>IF(D461="","",VLOOKUP(D461,Compte!$A$3:$B$346,2,0))</f>
        <v>Amortissements des logiciels &amp;marques</v>
      </c>
    </row>
    <row r="462" spans="1:9">
      <c r="A462" s="1206"/>
      <c r="B462" s="606" t="s">
        <v>1559</v>
      </c>
      <c r="C462" s="1046">
        <v>6812</v>
      </c>
      <c r="D462" s="1048">
        <v>2818</v>
      </c>
      <c r="E462" s="1044">
        <v>1000</v>
      </c>
      <c r="F462" s="1044">
        <v>1000</v>
      </c>
      <c r="G462" s="1077">
        <f t="shared" si="7"/>
        <v>1000</v>
      </c>
      <c r="H462" s="1042" t="str">
        <f>IF(C462="","",VLOOKUP(C462,Compte!$A$3:$B$346,2,0))</f>
        <v>Dotations aux amortissements des immobilisations incorporelles</v>
      </c>
      <c r="I462" s="1043" t="str">
        <f>IF(D462="","",VLOOKUP(D462,Compte!$A$3:$B$346,2,0))</f>
        <v>Amortissements. autres  valeurs incorporelles.</v>
      </c>
    </row>
    <row r="463" spans="1:9">
      <c r="A463" s="1206"/>
      <c r="B463" s="606" t="s">
        <v>1560</v>
      </c>
      <c r="C463" s="1046">
        <v>6813</v>
      </c>
      <c r="D463" s="1048">
        <v>2831</v>
      </c>
      <c r="E463" s="1044">
        <v>1000</v>
      </c>
      <c r="F463" s="1044">
        <v>1000</v>
      </c>
      <c r="G463" s="1077">
        <f t="shared" si="7"/>
        <v>1000</v>
      </c>
      <c r="H463" s="1042" t="str">
        <f>IF(C463="","",VLOOKUP(C463,Compte!$A$3:$B$346,2,0))</f>
        <v>Dotations aux amortissements des immobilisations corporelles</v>
      </c>
      <c r="I463" s="1043" t="str">
        <f>IF(D463="","",VLOOKUP(D463,Compte!$A$3:$B$346,2,0))</f>
        <v>Amort. bâtim. industriels. sol propre</v>
      </c>
    </row>
    <row r="464" spans="1:9">
      <c r="A464" s="1206"/>
      <c r="B464" s="606" t="s">
        <v>880</v>
      </c>
      <c r="C464" s="1046">
        <v>6813</v>
      </c>
      <c r="D464" s="1048">
        <v>2832</v>
      </c>
      <c r="E464" s="1044">
        <v>1000</v>
      </c>
      <c r="F464" s="1044">
        <v>1000</v>
      </c>
      <c r="G464" s="1077">
        <f t="shared" si="7"/>
        <v>1000</v>
      </c>
      <c r="H464" s="1042" t="str">
        <f>IF(C464="","",VLOOKUP(C464,Compte!$A$3:$B$346,2,0))</f>
        <v>Dotations aux amortissements des immobilisations corporelles</v>
      </c>
      <c r="I464" s="1043" t="str">
        <f>IF(D464="","",VLOOKUP(D464,Compte!$A$3:$B$346,2,0))</f>
        <v>Amort. bâtiments. industriels. sol autrui</v>
      </c>
    </row>
    <row r="465" spans="1:9">
      <c r="A465" s="1206"/>
      <c r="B465" s="606" t="s">
        <v>1561</v>
      </c>
      <c r="C465" s="1046">
        <v>6813</v>
      </c>
      <c r="D465" s="1048">
        <v>2833</v>
      </c>
      <c r="E465" s="1044">
        <v>1000</v>
      </c>
      <c r="F465" s="1044">
        <v>1000</v>
      </c>
      <c r="G465" s="1077">
        <f t="shared" si="7"/>
        <v>1000</v>
      </c>
      <c r="H465" s="1042" t="str">
        <f>IF(C465="","",VLOOKUP(C465,Compte!$A$3:$B$346,2,0))</f>
        <v>Dotations aux amortissements des immobilisations corporelles</v>
      </c>
      <c r="I465" s="1043" t="str">
        <f>IF(D465="","",VLOOKUP(D465,Compte!$A$3:$B$346,2,0))</f>
        <v>Amortissements. : ouvrages infrastructure</v>
      </c>
    </row>
    <row r="466" spans="1:9">
      <c r="A466" s="1206"/>
      <c r="B466" s="606" t="s">
        <v>1562</v>
      </c>
      <c r="C466" s="1046">
        <v>6813</v>
      </c>
      <c r="D466" s="1048">
        <v>2834</v>
      </c>
      <c r="E466" s="1044">
        <v>1000</v>
      </c>
      <c r="F466" s="1044">
        <v>1000</v>
      </c>
      <c r="G466" s="1077">
        <f t="shared" si="7"/>
        <v>1000</v>
      </c>
      <c r="H466" s="1042" t="str">
        <f>IF(C466="","",VLOOKUP(C466,Compte!$A$3:$B$346,2,0))</f>
        <v>Dotations aux amortissements des immobilisations corporelles</v>
      </c>
      <c r="I466" s="1043" t="str">
        <f>IF(D466="","",VLOOKUP(D466,Compte!$A$3:$B$346,2,0))</f>
        <v>Amort. : installations. techniques</v>
      </c>
    </row>
    <row r="467" spans="1:9">
      <c r="A467" s="1206"/>
      <c r="B467" s="606" t="s">
        <v>881</v>
      </c>
      <c r="C467" s="1046">
        <v>6813</v>
      </c>
      <c r="D467" s="1048">
        <v>2835</v>
      </c>
      <c r="E467" s="1044">
        <v>1000</v>
      </c>
      <c r="F467" s="1044">
        <v>1000</v>
      </c>
      <c r="G467" s="1077">
        <f t="shared" si="7"/>
        <v>1000</v>
      </c>
      <c r="H467" s="1042" t="str">
        <f>IF(C467="","",VLOOKUP(C467,Compte!$A$3:$B$346,2,0))</f>
        <v>Dotations aux amortissements des immobilisations corporelles</v>
      </c>
      <c r="I467" s="1043" t="str">
        <f>IF(D467="","",VLOOKUP(D467,Compte!$A$3:$B$346,2,0))</f>
        <v>Amortissements. : aménagement. bureaux</v>
      </c>
    </row>
    <row r="468" spans="1:9">
      <c r="A468" s="1206"/>
      <c r="B468" s="606" t="s">
        <v>1563</v>
      </c>
      <c r="C468" s="1046">
        <v>6813</v>
      </c>
      <c r="D468" s="1048">
        <v>2842</v>
      </c>
      <c r="E468" s="1044">
        <v>1000</v>
      </c>
      <c r="F468" s="1044">
        <v>1000</v>
      </c>
      <c r="G468" s="1077">
        <f t="shared" si="7"/>
        <v>1000</v>
      </c>
      <c r="H468" s="1042" t="str">
        <f>IF(C468="","",VLOOKUP(C468,Compte!$A$3:$B$346,2,0))</f>
        <v>Dotations aux amortissements des immobilisations corporelles</v>
      </c>
      <c r="I468" s="1043" t="str">
        <f>IF(D468="","",VLOOKUP(D468,Compte!$A$3:$B$346,2,0))</f>
        <v>Amort. mat-outillage agricole</v>
      </c>
    </row>
    <row r="469" spans="1:9">
      <c r="A469" s="1206"/>
      <c r="B469" s="606" t="s">
        <v>882</v>
      </c>
      <c r="C469" s="1046">
        <v>6813</v>
      </c>
      <c r="D469" s="1048">
        <v>2844</v>
      </c>
      <c r="E469" s="1044">
        <v>1000</v>
      </c>
      <c r="F469" s="1044">
        <v>1000</v>
      </c>
      <c r="G469" s="1077">
        <f t="shared" si="7"/>
        <v>1000</v>
      </c>
      <c r="H469" s="1042" t="str">
        <f>IF(C469="","",VLOOKUP(C469,Compte!$A$3:$B$346,2,0))</f>
        <v>Dotations aux amortissements des immobilisations corporelles</v>
      </c>
      <c r="I469" s="1043" t="str">
        <f>IF(D469="","",VLOOKUP(D469,Compte!$A$3:$B$346,2,0))</f>
        <v>Amortissement mobilier</v>
      </c>
    </row>
    <row r="470" spans="1:9">
      <c r="A470" s="1206"/>
      <c r="B470" s="606" t="s">
        <v>883</v>
      </c>
      <c r="C470" s="1046">
        <v>6813</v>
      </c>
      <c r="D470" s="1048">
        <v>2845</v>
      </c>
      <c r="E470" s="1044">
        <v>1000</v>
      </c>
      <c r="F470" s="1044">
        <v>1000</v>
      </c>
      <c r="G470" s="1077">
        <f t="shared" si="7"/>
        <v>1000</v>
      </c>
      <c r="H470" s="1042" t="str">
        <f>IF(C470="","",VLOOKUP(C470,Compte!$A$3:$B$346,2,0))</f>
        <v>Dotations aux amortissements des immobilisations corporelles</v>
      </c>
      <c r="I470" s="1043" t="str">
        <f>IF(D470="","",VLOOKUP(D470,Compte!$A$3:$B$346,2,0))</f>
        <v>Amortissement matériel transport</v>
      </c>
    </row>
    <row r="471" spans="1:9">
      <c r="A471" s="1206"/>
      <c r="B471" s="606" t="s">
        <v>1564</v>
      </c>
      <c r="C471" s="1046">
        <v>6813</v>
      </c>
      <c r="D471" s="1048">
        <v>2846</v>
      </c>
      <c r="E471" s="1044">
        <v>1000</v>
      </c>
      <c r="F471" s="1044">
        <v>1000</v>
      </c>
      <c r="G471" s="1077">
        <f t="shared" si="7"/>
        <v>1000</v>
      </c>
      <c r="H471" s="1042" t="str">
        <f>IF(C471="","",VLOOKUP(C471,Compte!$A$3:$B$346,2,0))</f>
        <v>Dotations aux amortissements des immobilisations corporelles</v>
      </c>
      <c r="I471" s="1043" t="str">
        <f>IF(D471="","",VLOOKUP(D471,Compte!$A$3:$B$346,2,0))</f>
        <v>Amort. : immobilisations. animales, agric.</v>
      </c>
    </row>
    <row r="472" spans="1:9">
      <c r="A472" s="1206"/>
      <c r="B472" s="606" t="s">
        <v>884</v>
      </c>
      <c r="C472" s="1046">
        <v>6813</v>
      </c>
      <c r="D472" s="1048">
        <v>2849</v>
      </c>
      <c r="E472" s="1044">
        <v>1000</v>
      </c>
      <c r="F472" s="1044">
        <v>1000</v>
      </c>
      <c r="G472" s="1077">
        <f t="shared" si="7"/>
        <v>1000</v>
      </c>
      <c r="H472" s="1042" t="str">
        <f>IF(C472="","",VLOOKUP(C472,Compte!$A$3:$B$346,2,0))</f>
        <v>Dotations aux amortissements des immobilisations corporelles</v>
      </c>
      <c r="I472" s="1043" t="str">
        <f>IF(D472="","",VLOOKUP(D472,Compte!$A$3:$B$346,2,0))</f>
        <v>Amortissements. : autres immobilisations corporelles en cours</v>
      </c>
    </row>
    <row r="473" spans="1:9">
      <c r="A473" s="1206"/>
      <c r="B473" s="606"/>
      <c r="C473" s="1046"/>
      <c r="D473" s="1048"/>
      <c r="E473" s="1583"/>
      <c r="F473" s="1583"/>
      <c r="G473" s="1077">
        <f t="shared" si="7"/>
        <v>0</v>
      </c>
      <c r="H473" s="1042" t="str">
        <f>IF(C473="","",VLOOKUP(C473,Compte!$A$3:$B$346,2,0))</f>
        <v/>
      </c>
      <c r="I473" s="1043" t="str">
        <f>IF(D473="","",VLOOKUP(D473,Compte!$A$3:$B$346,2,0))</f>
        <v/>
      </c>
    </row>
    <row r="474" spans="1:9">
      <c r="A474" s="1206"/>
      <c r="B474" s="606" t="s">
        <v>1483</v>
      </c>
      <c r="C474" s="1046">
        <v>6031</v>
      </c>
      <c r="D474" s="1048"/>
      <c r="E474" s="1068">
        <v>20000</v>
      </c>
      <c r="F474" s="1044"/>
      <c r="G474" s="1077">
        <f t="shared" si="7"/>
        <v>20000</v>
      </c>
      <c r="H474" s="1042" t="str">
        <f>IF(C474="","",VLOOKUP(C474,Compte!$A$3:$B$346,2,0))</f>
        <v>Variations : stocks marchandises dim</v>
      </c>
      <c r="I474" s="1043" t="str">
        <f>IF(D474="","",VLOOKUP(D474,Compte!$A$3:$B$346,2,0))</f>
        <v/>
      </c>
    </row>
    <row r="475" spans="1:9">
      <c r="A475" s="1206"/>
      <c r="B475" s="606" t="s">
        <v>896</v>
      </c>
      <c r="C475" s="1046"/>
      <c r="D475" s="1048">
        <v>310</v>
      </c>
      <c r="E475" s="1068"/>
      <c r="F475" s="1044">
        <v>20000</v>
      </c>
      <c r="G475" s="1077">
        <f t="shared" si="7"/>
        <v>20000</v>
      </c>
      <c r="H475" s="1042" t="str">
        <f>IF(C475="","",VLOOKUP(C475,Compte!$A$3:$B$346,2,0))</f>
        <v/>
      </c>
      <c r="I475" s="1043" t="str">
        <f>IF(D475="","",VLOOKUP(D475,Compte!$A$3:$B$346,2,0))</f>
        <v xml:space="preserve">Marchandises </v>
      </c>
    </row>
    <row r="476" spans="1:9">
      <c r="A476" s="1206"/>
      <c r="B476" s="606" t="s">
        <v>897</v>
      </c>
      <c r="C476" s="1046">
        <v>6032</v>
      </c>
      <c r="D476" s="1048"/>
      <c r="E476" s="1068">
        <v>10000</v>
      </c>
      <c r="F476" s="1044"/>
      <c r="G476" s="1077">
        <f t="shared" si="7"/>
        <v>10000</v>
      </c>
      <c r="H476" s="1042" t="str">
        <f>IF(C476="","",VLOOKUP(C476,Compte!$A$3:$B$346,2,0))</f>
        <v>Variations. Mat. premières, fournit. Dim</v>
      </c>
      <c r="I476" s="1043" t="str">
        <f>IF(D476="","",VLOOKUP(D476,Compte!$A$3:$B$346,2,0))</f>
        <v/>
      </c>
    </row>
    <row r="477" spans="1:9">
      <c r="A477" s="1206"/>
      <c r="B477" s="606" t="s">
        <v>898</v>
      </c>
      <c r="C477" s="1046"/>
      <c r="D477" s="1048">
        <v>320</v>
      </c>
      <c r="E477" s="1068"/>
      <c r="F477" s="1044">
        <v>10000</v>
      </c>
      <c r="G477" s="1077">
        <f t="shared" si="7"/>
        <v>10000</v>
      </c>
      <c r="H477" s="1042" t="str">
        <f>IF(C477="","",VLOOKUP(C477,Compte!$A$3:$B$346,2,0))</f>
        <v/>
      </c>
      <c r="I477" s="1043" t="str">
        <f>IF(D477="","",VLOOKUP(D477,Compte!$A$3:$B$346,2,0))</f>
        <v>Matières premières, fournitures</v>
      </c>
    </row>
    <row r="478" spans="1:9">
      <c r="A478" s="1206"/>
      <c r="B478" s="606"/>
      <c r="C478" s="1046"/>
      <c r="D478" s="1048"/>
      <c r="E478" s="1068"/>
      <c r="F478" s="1044"/>
      <c r="G478" s="1077">
        <f t="shared" si="7"/>
        <v>0</v>
      </c>
      <c r="H478" s="1042" t="str">
        <f>IF(C478="","",VLOOKUP(C478,Compte!$A$3:$B$346,2,0))</f>
        <v/>
      </c>
      <c r="I478" s="1043" t="str">
        <f>IF(D478="","",VLOOKUP(D478,Compte!$A$3:$B$346,2,0))</f>
        <v/>
      </c>
    </row>
    <row r="479" spans="1:9">
      <c r="A479" s="1206"/>
      <c r="B479" s="606" t="s">
        <v>899</v>
      </c>
      <c r="C479" s="1046">
        <v>6033</v>
      </c>
      <c r="D479" s="1048"/>
      <c r="E479" s="1068">
        <v>20000</v>
      </c>
      <c r="F479" s="1044"/>
      <c r="G479" s="1077">
        <f t="shared" si="7"/>
        <v>20000</v>
      </c>
      <c r="H479" s="1042" t="str">
        <f>IF(C479="","",VLOOKUP(C479,Compte!$A$3:$B$346,2,0))</f>
        <v>Variations. Autres approvisionnement. Dim</v>
      </c>
      <c r="I479" s="1043" t="str">
        <f>IF(D479="","",VLOOKUP(D479,Compte!$A$3:$B$346,2,0))</f>
        <v/>
      </c>
    </row>
    <row r="480" spans="1:9">
      <c r="A480" s="1206"/>
      <c r="B480" s="606" t="s">
        <v>1565</v>
      </c>
      <c r="C480" s="1046"/>
      <c r="D480" s="1048">
        <v>330</v>
      </c>
      <c r="E480" s="1068"/>
      <c r="F480" s="1044">
        <v>20000</v>
      </c>
      <c r="G480" s="1077">
        <f t="shared" si="7"/>
        <v>20000</v>
      </c>
      <c r="H480" s="1042" t="str">
        <f>IF(C480="","",VLOOKUP(C480,Compte!$A$3:$B$346,2,0))</f>
        <v/>
      </c>
      <c r="I480" s="1043" t="str">
        <f>IF(D480="","",VLOOKUP(D480,Compte!$A$3:$B$346,2,0))</f>
        <v>Autres approvisionnements, emballage récup</v>
      </c>
    </row>
    <row r="481" spans="1:9">
      <c r="A481" s="1206"/>
      <c r="B481" s="606" t="s">
        <v>1565</v>
      </c>
      <c r="C481" s="1046">
        <v>330</v>
      </c>
      <c r="D481" s="1048"/>
      <c r="E481" s="1068">
        <v>10000</v>
      </c>
      <c r="F481" s="1044"/>
      <c r="G481" s="1077">
        <f t="shared" si="7"/>
        <v>10000</v>
      </c>
      <c r="H481" s="1042" t="str">
        <f>IF(C481="","",VLOOKUP(C481,Compte!$A$3:$B$346,2,0))</f>
        <v>Autres approvisionnements, emballage récup</v>
      </c>
      <c r="I481" s="1043" t="str">
        <f>IF(D481="","",VLOOKUP(D481,Compte!$A$3:$B$346,2,0))</f>
        <v/>
      </c>
    </row>
    <row r="482" spans="1:9">
      <c r="A482" s="1206"/>
      <c r="B482" s="606" t="s">
        <v>900</v>
      </c>
      <c r="C482" s="1046"/>
      <c r="D482" s="1048">
        <v>6031</v>
      </c>
      <c r="E482" s="1068"/>
      <c r="F482" s="1044">
        <v>10000</v>
      </c>
      <c r="G482" s="1077">
        <f t="shared" si="7"/>
        <v>10000</v>
      </c>
      <c r="H482" s="1042" t="str">
        <f>IF(C482="","",VLOOKUP(C482,Compte!$A$3:$B$346,2,0))</f>
        <v/>
      </c>
      <c r="I482" s="1043" t="str">
        <f>IF(D482="","",VLOOKUP(D482,Compte!$A$3:$B$346,2,0))</f>
        <v>Variations : stocks marchandises dim</v>
      </c>
    </row>
    <row r="483" spans="1:9">
      <c r="A483" s="1206"/>
      <c r="B483" s="606"/>
      <c r="C483" s="1046"/>
      <c r="D483" s="1048"/>
      <c r="E483" s="1068"/>
      <c r="F483" s="1044"/>
      <c r="G483" s="1077">
        <f t="shared" si="7"/>
        <v>0</v>
      </c>
      <c r="H483" s="1042" t="str">
        <f>IF(C483="","",VLOOKUP(C483,Compte!$A$3:$B$346,2,0))</f>
        <v/>
      </c>
      <c r="I483" s="1043" t="str">
        <f>IF(D483="","",VLOOKUP(D483,Compte!$A$3:$B$346,2,0))</f>
        <v/>
      </c>
    </row>
    <row r="484" spans="1:9">
      <c r="A484" s="1206"/>
      <c r="B484" s="606" t="s">
        <v>898</v>
      </c>
      <c r="C484" s="1046">
        <v>320</v>
      </c>
      <c r="D484" s="1048"/>
      <c r="E484" s="1068">
        <v>20000</v>
      </c>
      <c r="F484" s="1044"/>
      <c r="G484" s="1077">
        <f t="shared" si="7"/>
        <v>20000</v>
      </c>
      <c r="H484" s="1042" t="str">
        <f>IF(C484="","",VLOOKUP(C484,Compte!$A$3:$B$346,2,0))</f>
        <v>Matières premières, fournitures</v>
      </c>
      <c r="I484" s="1043" t="str">
        <f>IF(D484="","",VLOOKUP(D484,Compte!$A$3:$B$346,2,0))</f>
        <v/>
      </c>
    </row>
    <row r="485" spans="1:9">
      <c r="A485" s="1206"/>
      <c r="B485" s="606" t="s">
        <v>897</v>
      </c>
      <c r="C485" s="1046"/>
      <c r="D485" s="1048">
        <v>6032</v>
      </c>
      <c r="E485" s="1068"/>
      <c r="F485" s="1044">
        <v>20000</v>
      </c>
      <c r="G485" s="1077">
        <f t="shared" si="7"/>
        <v>20000</v>
      </c>
      <c r="H485" s="1042" t="str">
        <f>IF(C485="","",VLOOKUP(C485,Compte!$A$3:$B$346,2,0))</f>
        <v/>
      </c>
      <c r="I485" s="1043" t="str">
        <f>IF(D485="","",VLOOKUP(D485,Compte!$A$3:$B$346,2,0))</f>
        <v>Variations. Mat. premières, fournit. Dim</v>
      </c>
    </row>
    <row r="486" spans="1:9">
      <c r="A486" s="1206"/>
      <c r="B486" s="606" t="s">
        <v>1565</v>
      </c>
      <c r="C486" s="1046">
        <v>330</v>
      </c>
      <c r="D486" s="1048"/>
      <c r="E486" s="1068">
        <v>10000</v>
      </c>
      <c r="F486" s="1044"/>
      <c r="G486" s="1077">
        <f t="shared" si="7"/>
        <v>10000</v>
      </c>
      <c r="H486" s="1042" t="str">
        <f>IF(C486="","",VLOOKUP(C486,Compte!$A$3:$B$346,2,0))</f>
        <v>Autres approvisionnements, emballage récup</v>
      </c>
      <c r="I486" s="1043" t="str">
        <f>IF(D486="","",VLOOKUP(D486,Compte!$A$3:$B$346,2,0))</f>
        <v/>
      </c>
    </row>
    <row r="487" spans="1:9">
      <c r="A487" s="1206"/>
      <c r="B487" s="606" t="s">
        <v>901</v>
      </c>
      <c r="C487" s="1046"/>
      <c r="D487" s="1048">
        <v>6033</v>
      </c>
      <c r="E487" s="1068"/>
      <c r="F487" s="1044">
        <v>10000</v>
      </c>
      <c r="G487" s="1077">
        <f t="shared" si="7"/>
        <v>10000</v>
      </c>
      <c r="H487" s="1042" t="str">
        <f>IF(C487="","",VLOOKUP(C487,Compte!$A$3:$B$346,2,0))</f>
        <v/>
      </c>
      <c r="I487" s="1043" t="str">
        <f>IF(D487="","",VLOOKUP(D487,Compte!$A$3:$B$346,2,0))</f>
        <v>Variations. Autres approvisionnement. Dim</v>
      </c>
    </row>
    <row r="488" spans="1:9">
      <c r="A488" s="1206"/>
      <c r="B488" s="606"/>
      <c r="C488" s="1046"/>
      <c r="D488" s="1048"/>
      <c r="E488" s="1068"/>
      <c r="F488" s="1044"/>
      <c r="G488" s="1077">
        <f t="shared" si="7"/>
        <v>0</v>
      </c>
      <c r="H488" s="1042" t="str">
        <f>IF(C488="","",VLOOKUP(C488,Compte!$A$3:$B$346,2,0))</f>
        <v/>
      </c>
      <c r="I488" s="1043" t="str">
        <f>IF(D488="","",VLOOKUP(D488,Compte!$A$3:$B$346,2,0))</f>
        <v/>
      </c>
    </row>
    <row r="489" spans="1:9">
      <c r="A489" s="1206"/>
      <c r="B489" s="606" t="s">
        <v>904</v>
      </c>
      <c r="C489" s="1046">
        <v>6032</v>
      </c>
      <c r="D489" s="1048"/>
      <c r="E489" s="1068">
        <v>20000</v>
      </c>
      <c r="F489" s="1044"/>
      <c r="G489" s="1077">
        <f t="shared" si="7"/>
        <v>20000</v>
      </c>
      <c r="H489" s="1042" t="str">
        <f>IF(C489="","",VLOOKUP(C489,Compte!$A$3:$B$346,2,0))</f>
        <v>Variations. Mat. premières, fournit. Dim</v>
      </c>
      <c r="I489" s="1043" t="str">
        <f>IF(D489="","",VLOOKUP(D489,Compte!$A$3:$B$346,2,0))</f>
        <v/>
      </c>
    </row>
    <row r="490" spans="1:9">
      <c r="A490" s="1206"/>
      <c r="B490" s="606" t="s">
        <v>903</v>
      </c>
      <c r="C490" s="1046"/>
      <c r="D490" s="1048">
        <v>320</v>
      </c>
      <c r="E490" s="1068"/>
      <c r="F490" s="1044">
        <v>20000</v>
      </c>
      <c r="G490" s="1077">
        <f t="shared" si="7"/>
        <v>20000</v>
      </c>
      <c r="H490" s="1042" t="str">
        <f>IF(C490="","",VLOOKUP(C490,Compte!$A$3:$B$346,2,0))</f>
        <v/>
      </c>
      <c r="I490" s="1043" t="str">
        <f>IF(D490="","",VLOOKUP(D490,Compte!$A$3:$B$346,2,0))</f>
        <v>Matières premières, fournitures</v>
      </c>
    </row>
    <row r="491" spans="1:9">
      <c r="A491" s="1206"/>
      <c r="B491" s="606" t="s">
        <v>903</v>
      </c>
      <c r="C491" s="1046">
        <v>320</v>
      </c>
      <c r="D491" s="1048"/>
      <c r="E491" s="1068">
        <v>10000</v>
      </c>
      <c r="F491" s="1044"/>
      <c r="G491" s="1077">
        <f t="shared" si="7"/>
        <v>10000</v>
      </c>
      <c r="H491" s="1042" t="str">
        <f>IF(C491="","",VLOOKUP(C491,Compte!$A$3:$B$346,2,0))</f>
        <v>Matières premières, fournitures</v>
      </c>
      <c r="I491" s="1043" t="str">
        <f>IF(D491="","",VLOOKUP(D491,Compte!$A$3:$B$346,2,0))</f>
        <v/>
      </c>
    </row>
    <row r="492" spans="1:9">
      <c r="A492" s="1206"/>
      <c r="B492" s="606" t="s">
        <v>904</v>
      </c>
      <c r="C492" s="1046"/>
      <c r="D492" s="1048">
        <v>6032</v>
      </c>
      <c r="E492" s="1068"/>
      <c r="F492" s="1044">
        <v>10000</v>
      </c>
      <c r="G492" s="1077">
        <f t="shared" si="7"/>
        <v>10000</v>
      </c>
      <c r="H492" s="1042" t="str">
        <f>IF(C492="","",VLOOKUP(C492,Compte!$A$3:$B$346,2,0))</f>
        <v/>
      </c>
      <c r="I492" s="1043" t="str">
        <f>IF(D492="","",VLOOKUP(D492,Compte!$A$3:$B$346,2,0))</f>
        <v>Variations. Mat. premières, fournit. Dim</v>
      </c>
    </row>
    <row r="493" spans="1:9">
      <c r="A493" s="1206"/>
      <c r="B493" s="606"/>
      <c r="C493" s="1046"/>
      <c r="D493" s="1048"/>
      <c r="E493" s="1068"/>
      <c r="F493" s="1044"/>
      <c r="G493" s="1077">
        <f t="shared" si="7"/>
        <v>0</v>
      </c>
      <c r="H493" s="1042" t="str">
        <f>IF(C493="","",VLOOKUP(C493,Compte!$A$3:$B$346,2,0))</f>
        <v/>
      </c>
      <c r="I493" s="1043" t="str">
        <f>IF(D493="","",VLOOKUP(D493,Compte!$A$3:$B$346,2,0))</f>
        <v/>
      </c>
    </row>
    <row r="494" spans="1:9">
      <c r="A494" s="1206"/>
      <c r="B494" s="606" t="s">
        <v>907</v>
      </c>
      <c r="C494" s="1046">
        <v>6034</v>
      </c>
      <c r="D494" s="1048"/>
      <c r="E494" s="1068">
        <v>20000</v>
      </c>
      <c r="F494" s="1044"/>
      <c r="G494" s="1077">
        <f t="shared" si="7"/>
        <v>20000</v>
      </c>
      <c r="H494" s="1042" t="str">
        <f>IF(C494="","",VLOOKUP(C494,Compte!$A$3:$B$346,2,0))</f>
        <v>Variations. Produit résiduel et intermédiaires</v>
      </c>
      <c r="I494" s="1043" t="str">
        <f>IF(D494="","",VLOOKUP(D494,Compte!$A$3:$B$346,2,0))</f>
        <v/>
      </c>
    </row>
    <row r="495" spans="1:9">
      <c r="A495" s="1206"/>
      <c r="B495" s="606" t="s">
        <v>908</v>
      </c>
      <c r="C495" s="1046"/>
      <c r="D495" s="1048">
        <v>370</v>
      </c>
      <c r="E495" s="1068"/>
      <c r="F495" s="1044">
        <v>20000</v>
      </c>
      <c r="G495" s="1077">
        <f t="shared" si="7"/>
        <v>20000</v>
      </c>
      <c r="H495" s="1042" t="str">
        <f>IF(C495="","",VLOOKUP(C495,Compte!$A$3:$B$346,2,0))</f>
        <v/>
      </c>
      <c r="I495" s="1043" t="str">
        <f>IF(D495="","",VLOOKUP(D495,Compte!$A$3:$B$346,2,0))</f>
        <v>Produits intermèdiaires., résiduels</v>
      </c>
    </row>
    <row r="496" spans="1:9">
      <c r="A496" s="1206"/>
      <c r="B496" s="606" t="s">
        <v>908</v>
      </c>
      <c r="C496" s="1046">
        <v>370</v>
      </c>
      <c r="D496" s="1048"/>
      <c r="E496" s="1068">
        <v>10000</v>
      </c>
      <c r="F496" s="1044"/>
      <c r="G496" s="1077">
        <f t="shared" si="7"/>
        <v>10000</v>
      </c>
      <c r="H496" s="1042" t="str">
        <f>IF(C496="","",VLOOKUP(C496,Compte!$A$3:$B$346,2,0))</f>
        <v>Produits intermèdiaires., résiduels</v>
      </c>
      <c r="I496" s="1043" t="str">
        <f>IF(D496="","",VLOOKUP(D496,Compte!$A$3:$B$346,2,0))</f>
        <v/>
      </c>
    </row>
    <row r="497" spans="1:9">
      <c r="A497" s="1206"/>
      <c r="B497" s="606" t="s">
        <v>907</v>
      </c>
      <c r="C497" s="1046"/>
      <c r="D497" s="1048">
        <v>6034</v>
      </c>
      <c r="E497" s="1068"/>
      <c r="F497" s="1044">
        <v>10000</v>
      </c>
      <c r="G497" s="1077">
        <f t="shared" si="7"/>
        <v>10000</v>
      </c>
      <c r="H497" s="1042" t="str">
        <f>IF(C497="","",VLOOKUP(C497,Compte!$A$3:$B$346,2,0))</f>
        <v/>
      </c>
      <c r="I497" s="1043" t="str">
        <f>IF(D497="","",VLOOKUP(D497,Compte!$A$3:$B$346,2,0))</f>
        <v>Variations. Produit résiduel et intermédiaires</v>
      </c>
    </row>
    <row r="498" spans="1:9">
      <c r="A498" s="1206"/>
      <c r="B498" s="606"/>
      <c r="C498" s="1046"/>
      <c r="D498" s="1048"/>
      <c r="E498" s="1068"/>
      <c r="F498" s="1044"/>
      <c r="G498" s="1077">
        <f t="shared" si="7"/>
        <v>0</v>
      </c>
      <c r="H498" s="1042" t="str">
        <f>IF(C498="","",VLOOKUP(C498,Compte!$A$3:$B$346,2,0))</f>
        <v/>
      </c>
      <c r="I498" s="1043" t="str">
        <f>IF(D498="","",VLOOKUP(D498,Compte!$A$3:$B$346,2,0))</f>
        <v/>
      </c>
    </row>
    <row r="499" spans="1:9">
      <c r="A499" s="1206"/>
      <c r="B499" s="606" t="s">
        <v>1566</v>
      </c>
      <c r="C499" s="1046">
        <v>6035</v>
      </c>
      <c r="D499" s="1048"/>
      <c r="E499" s="1068">
        <v>20000</v>
      </c>
      <c r="F499" s="1044"/>
      <c r="G499" s="1077">
        <f t="shared" si="7"/>
        <v>20000</v>
      </c>
      <c r="H499" s="1042" t="str">
        <f>IF(C499="","",VLOOKUP(C499,Compte!$A$3:$B$346,2,0))</f>
        <v>Variation des encours de produit Dim</v>
      </c>
      <c r="I499" s="1043" t="str">
        <f>IF(D499="","",VLOOKUP(D499,Compte!$A$3:$B$346,2,0))</f>
        <v/>
      </c>
    </row>
    <row r="500" spans="1:9">
      <c r="A500" s="1206"/>
      <c r="B500" s="606" t="s">
        <v>916</v>
      </c>
      <c r="C500" s="1046"/>
      <c r="D500" s="1048">
        <v>340</v>
      </c>
      <c r="E500" s="1068"/>
      <c r="F500" s="1044">
        <v>20000</v>
      </c>
      <c r="G500" s="1077">
        <f t="shared" si="7"/>
        <v>20000</v>
      </c>
      <c r="H500" s="1042" t="str">
        <f>IF(C500="","",VLOOKUP(C500,Compte!$A$3:$B$346,2,0))</f>
        <v/>
      </c>
      <c r="I500" s="1043" t="str">
        <f>IF(D500="","",VLOOKUP(D500,Compte!$A$3:$B$346,2,0))</f>
        <v>En-cours de produits</v>
      </c>
    </row>
    <row r="501" spans="1:9">
      <c r="A501" s="1206"/>
      <c r="B501" s="606" t="s">
        <v>916</v>
      </c>
      <c r="C501" s="1046">
        <v>340</v>
      </c>
      <c r="D501" s="1048"/>
      <c r="E501" s="1068">
        <v>10000</v>
      </c>
      <c r="F501" s="1044"/>
      <c r="G501" s="1077">
        <f t="shared" si="7"/>
        <v>10000</v>
      </c>
      <c r="H501" s="1042" t="str">
        <f>IF(C501="","",VLOOKUP(C501,Compte!$A$3:$B$346,2,0))</f>
        <v>En-cours de produits</v>
      </c>
      <c r="I501" s="1043" t="str">
        <f>IF(D501="","",VLOOKUP(D501,Compte!$A$3:$B$346,2,0))</f>
        <v/>
      </c>
    </row>
    <row r="502" spans="1:9">
      <c r="A502" s="1206"/>
      <c r="B502" s="606" t="s">
        <v>1566</v>
      </c>
      <c r="C502" s="1046"/>
      <c r="D502" s="1048">
        <v>6035</v>
      </c>
      <c r="E502" s="1068"/>
      <c r="F502" s="1044">
        <v>10000</v>
      </c>
      <c r="G502" s="1077">
        <f t="shared" si="7"/>
        <v>10000</v>
      </c>
      <c r="H502" s="1042" t="str">
        <f>IF(C502="","",VLOOKUP(C502,Compte!$A$3:$B$346,2,0))</f>
        <v/>
      </c>
      <c r="I502" s="1043" t="str">
        <f>IF(D502="","",VLOOKUP(D502,Compte!$A$3:$B$346,2,0))</f>
        <v>Variation des encours de produit Dim</v>
      </c>
    </row>
    <row r="503" spans="1:9">
      <c r="A503" s="1206"/>
      <c r="B503" s="606"/>
      <c r="C503" s="1046"/>
      <c r="D503" s="1048"/>
      <c r="E503" s="1068"/>
      <c r="F503" s="1044"/>
      <c r="G503" s="1077">
        <f t="shared" si="7"/>
        <v>0</v>
      </c>
      <c r="H503" s="1042" t="str">
        <f>IF(C503="","",VLOOKUP(C503,Compte!$A$3:$B$346,2,0))</f>
        <v/>
      </c>
      <c r="I503" s="1043" t="str">
        <f>IF(D503="","",VLOOKUP(D503,Compte!$A$3:$B$346,2,0))</f>
        <v/>
      </c>
    </row>
    <row r="504" spans="1:9">
      <c r="A504" s="1206"/>
      <c r="B504" s="606" t="s">
        <v>1567</v>
      </c>
      <c r="C504" s="1046">
        <v>361</v>
      </c>
      <c r="D504" s="1048"/>
      <c r="E504" s="1068">
        <v>500</v>
      </c>
      <c r="F504" s="1044"/>
      <c r="G504" s="1077">
        <f t="shared" si="7"/>
        <v>500</v>
      </c>
      <c r="H504" s="1042" t="str">
        <f>IF(C504="","",VLOOKUP(C504,Compte!$A$3:$B$346,2,0))</f>
        <v>Stock de produits finis</v>
      </c>
      <c r="I504" s="1043" t="str">
        <f>IF(D504="","",VLOOKUP(D504,Compte!$A$3:$B$346,2,0))</f>
        <v/>
      </c>
    </row>
    <row r="505" spans="1:9">
      <c r="A505" s="1206"/>
      <c r="B505" s="606" t="s">
        <v>1481</v>
      </c>
      <c r="C505" s="1046"/>
      <c r="D505" s="1048">
        <v>7360</v>
      </c>
      <c r="E505" s="1068"/>
      <c r="F505" s="1044">
        <v>500</v>
      </c>
      <c r="G505" s="1077">
        <f t="shared" si="7"/>
        <v>500</v>
      </c>
      <c r="H505" s="1042" t="str">
        <f>IF(C505="","",VLOOKUP(C505,Compte!$A$3:$B$346,2,0))</f>
        <v/>
      </c>
      <c r="I505" s="1043" t="str">
        <f>IF(D505="","",VLOOKUP(D505,Compte!$A$3:$B$346,2,0))</f>
        <v>variation des produits finis Dim</v>
      </c>
    </row>
    <row r="506" spans="1:9">
      <c r="A506" s="1206"/>
      <c r="B506" s="606" t="s">
        <v>1477</v>
      </c>
      <c r="C506" s="1046">
        <v>7360</v>
      </c>
      <c r="D506" s="1048"/>
      <c r="E506" s="1068">
        <v>500</v>
      </c>
      <c r="F506" s="1044"/>
      <c r="G506" s="1077">
        <f t="shared" si="7"/>
        <v>500</v>
      </c>
      <c r="H506" s="1042" t="str">
        <f>IF(C506="","",VLOOKUP(C506,Compte!$A$3:$B$346,2,0))</f>
        <v>variation des produits finis Dim</v>
      </c>
      <c r="I506" s="1043" t="str">
        <f>IF(D506="","",VLOOKUP(D506,Compte!$A$3:$B$346,2,0))</f>
        <v/>
      </c>
    </row>
    <row r="507" spans="1:9">
      <c r="A507" s="1206"/>
      <c r="B507" s="606" t="s">
        <v>1476</v>
      </c>
      <c r="C507" s="1046"/>
      <c r="D507" s="1048">
        <v>361</v>
      </c>
      <c r="E507" s="1068"/>
      <c r="F507" s="1044">
        <v>500</v>
      </c>
      <c r="G507" s="1077">
        <f t="shared" si="7"/>
        <v>500</v>
      </c>
      <c r="H507" s="1042" t="str">
        <f>IF(C507="","",VLOOKUP(C507,Compte!$A$3:$B$346,2,0))</f>
        <v/>
      </c>
      <c r="I507" s="1043" t="str">
        <f>IF(D507="","",VLOOKUP(D507,Compte!$A$3:$B$346,2,0))</f>
        <v>Stock de produits finis</v>
      </c>
    </row>
    <row r="508" spans="1:9">
      <c r="A508" s="1206"/>
      <c r="B508" s="606" t="s">
        <v>1478</v>
      </c>
      <c r="C508" s="1046">
        <v>361</v>
      </c>
      <c r="D508" s="1048"/>
      <c r="E508" s="1068">
        <v>1000</v>
      </c>
      <c r="F508" s="1044"/>
      <c r="G508" s="1077">
        <f t="shared" si="7"/>
        <v>1000</v>
      </c>
      <c r="H508" s="1042" t="str">
        <f>IF(C508="","",VLOOKUP(C508,Compte!$A$3:$B$346,2,0))</f>
        <v>Stock de produits finis</v>
      </c>
      <c r="I508" s="1043" t="str">
        <f>IF(D508="","",VLOOKUP(D508,Compte!$A$3:$B$346,2,0))</f>
        <v/>
      </c>
    </row>
    <row r="509" spans="1:9">
      <c r="A509" s="1206"/>
      <c r="B509" s="606" t="s">
        <v>1481</v>
      </c>
      <c r="C509" s="1046"/>
      <c r="D509" s="1048">
        <v>7360</v>
      </c>
      <c r="E509" s="1068"/>
      <c r="F509" s="1044">
        <v>1000</v>
      </c>
      <c r="G509" s="1077">
        <f t="shared" si="7"/>
        <v>1000</v>
      </c>
      <c r="H509" s="1042" t="str">
        <f>IF(C509="","",VLOOKUP(C509,Compte!$A$3:$B$346,2,0))</f>
        <v/>
      </c>
      <c r="I509" s="1043" t="str">
        <f>IF(D509="","",VLOOKUP(D509,Compte!$A$3:$B$346,2,0))</f>
        <v>variation des produits finis Dim</v>
      </c>
    </row>
    <row r="510" spans="1:9">
      <c r="A510" s="1206"/>
      <c r="B510" s="606"/>
      <c r="C510" s="1046"/>
      <c r="D510" s="1048"/>
      <c r="E510" s="1068"/>
      <c r="F510" s="1044"/>
      <c r="G510" s="1077">
        <f t="shared" si="7"/>
        <v>0</v>
      </c>
      <c r="H510" s="1042" t="str">
        <f>IF(C510="","",VLOOKUP(C510,Compte!$A$3:$B$346,2,0))</f>
        <v/>
      </c>
      <c r="I510" s="1043" t="str">
        <f>IF(D510="","",VLOOKUP(D510,Compte!$A$3:$B$346,2,0))</f>
        <v/>
      </c>
    </row>
    <row r="511" spans="1:9">
      <c r="A511" s="1206"/>
      <c r="B511" s="606" t="s">
        <v>1568</v>
      </c>
      <c r="C511" s="1047">
        <v>476</v>
      </c>
      <c r="D511" s="1050"/>
      <c r="E511" s="1068">
        <v>5000</v>
      </c>
      <c r="F511" s="1044"/>
      <c r="G511" s="1077">
        <f t="shared" si="7"/>
        <v>5000</v>
      </c>
      <c r="H511" s="1042" t="str">
        <f>IF(C511="","",VLOOKUP(C511,Compte!$A$3:$B$346,2,0))</f>
        <v>Actif de régulation (Charge payée d'avance, produit à recevoir)</v>
      </c>
      <c r="I511" s="1043" t="str">
        <f>IF(D511="","",VLOOKUP(D511,Compte!$A$3:$B$346,2,0))</f>
        <v/>
      </c>
    </row>
    <row r="512" spans="1:9">
      <c r="A512" s="1206"/>
      <c r="B512" s="606" t="s">
        <v>1006</v>
      </c>
      <c r="C512" s="1058"/>
      <c r="D512" s="1048">
        <v>622</v>
      </c>
      <c r="E512" s="1068"/>
      <c r="F512" s="1044">
        <v>5000</v>
      </c>
      <c r="G512" s="1077">
        <f t="shared" si="7"/>
        <v>5000</v>
      </c>
      <c r="H512" s="1042" t="str">
        <f>IF(C512="","",VLOOKUP(C512,Compte!$A$3:$B$346,2,0))</f>
        <v/>
      </c>
      <c r="I512" s="1043" t="str">
        <f>IF(D512="","",VLOOKUP(D512,Compte!$A$3:$B$346,2,0))</f>
        <v>Location et charges locatives</v>
      </c>
    </row>
    <row r="513" spans="1:9">
      <c r="A513" s="1206"/>
      <c r="B513" s="1049"/>
      <c r="C513" s="1059"/>
      <c r="D513" s="1063"/>
      <c r="E513" s="1068"/>
      <c r="F513" s="1044"/>
      <c r="G513" s="1077">
        <f t="shared" si="7"/>
        <v>0</v>
      </c>
      <c r="H513" s="1042" t="str">
        <f>IF(C513="","",VLOOKUP(C513,Compte!$A$3:$B$346,2,0))</f>
        <v/>
      </c>
      <c r="I513" s="1043" t="str">
        <f>IF(D513="","",VLOOKUP(D513,Compte!$A$3:$B$346,2,0))</f>
        <v/>
      </c>
    </row>
    <row r="514" spans="1:9">
      <c r="A514" s="1206"/>
      <c r="B514" s="606" t="s">
        <v>1007</v>
      </c>
      <c r="C514" s="1047">
        <v>476</v>
      </c>
      <c r="D514" s="1050"/>
      <c r="E514" s="1068">
        <v>10000</v>
      </c>
      <c r="F514" s="1044"/>
      <c r="G514" s="1077">
        <f t="shared" si="7"/>
        <v>10000</v>
      </c>
      <c r="H514" s="1042" t="str">
        <f>IF(C514="","",VLOOKUP(C514,Compte!$A$3:$B$346,2,0))</f>
        <v>Actif de régulation (Charge payée d'avance, produit à recevoir)</v>
      </c>
      <c r="I514" s="1043" t="str">
        <f>IF(D514="","",VLOOKUP(D514,Compte!$A$3:$B$346,2,0))</f>
        <v/>
      </c>
    </row>
    <row r="515" spans="1:9">
      <c r="A515" s="1206"/>
      <c r="B515" s="606" t="s">
        <v>1008</v>
      </c>
      <c r="C515" s="1058"/>
      <c r="D515" s="1050">
        <v>771</v>
      </c>
      <c r="E515" s="1068"/>
      <c r="F515" s="1044">
        <v>10000</v>
      </c>
      <c r="G515" s="1077">
        <f t="shared" si="7"/>
        <v>10000</v>
      </c>
      <c r="H515" s="1042" t="str">
        <f>IF(C515="","",VLOOKUP(C515,Compte!$A$3:$B$346,2,0))</f>
        <v/>
      </c>
      <c r="I515" s="1043" t="str">
        <f>IF(D515="","",VLOOKUP(D515,Compte!$A$3:$B$346,2,0))</f>
        <v>Intérêts de prêts accordés</v>
      </c>
    </row>
    <row r="516" spans="1:9">
      <c r="A516" s="1206"/>
      <c r="B516" s="1049"/>
      <c r="C516" s="1059"/>
      <c r="D516" s="1063"/>
      <c r="E516" s="1068"/>
      <c r="F516" s="1044"/>
      <c r="G516" s="1077">
        <f t="shared" si="7"/>
        <v>0</v>
      </c>
      <c r="H516" s="1042" t="str">
        <f>IF(C516="","",VLOOKUP(C516,Compte!$A$3:$B$346,2,0))</f>
        <v/>
      </c>
      <c r="I516" s="1043" t="str">
        <f>IF(D516="","",VLOOKUP(D516,Compte!$A$3:$B$346,2,0))</f>
        <v/>
      </c>
    </row>
    <row r="517" spans="1:9">
      <c r="A517" s="1206"/>
      <c r="B517" s="606" t="s">
        <v>1009</v>
      </c>
      <c r="C517" s="1047">
        <v>476</v>
      </c>
      <c r="D517" s="1050"/>
      <c r="E517" s="1068">
        <v>1000</v>
      </c>
      <c r="F517" s="1044"/>
      <c r="G517" s="1077">
        <f t="shared" si="7"/>
        <v>1000</v>
      </c>
      <c r="H517" s="1042" t="str">
        <f>IF(C517="","",VLOOKUP(C517,Compte!$A$3:$B$346,2,0))</f>
        <v>Actif de régulation (Charge payée d'avance, produit à recevoir)</v>
      </c>
      <c r="I517" s="1043" t="str">
        <f>IF(D517="","",VLOOKUP(D517,Compte!$A$3:$B$346,2,0))</f>
        <v/>
      </c>
    </row>
    <row r="518" spans="1:9">
      <c r="A518" s="1206"/>
      <c r="B518" s="606" t="s">
        <v>1010</v>
      </c>
      <c r="C518" s="1058"/>
      <c r="D518" s="1050">
        <v>840</v>
      </c>
      <c r="E518" s="1068"/>
      <c r="F518" s="1044">
        <v>1000</v>
      </c>
      <c r="G518" s="1077">
        <f t="shared" si="7"/>
        <v>1000</v>
      </c>
      <c r="H518" s="1042" t="str">
        <f>IF(C518="","",VLOOKUP(C518,Compte!$A$3:$B$346,2,0))</f>
        <v/>
      </c>
      <c r="I518" s="1043" t="str">
        <f>IF(D518="","",VLOOKUP(D518,Compte!$A$3:$B$346,2,0))</f>
        <v>Produits hors activité ordinaire</v>
      </c>
    </row>
    <row r="519" spans="1:9">
      <c r="A519" s="1206"/>
      <c r="B519" s="1049"/>
      <c r="C519" s="1059"/>
      <c r="D519" s="1063"/>
      <c r="E519" s="1068"/>
      <c r="F519" s="1044"/>
      <c r="G519" s="1077">
        <f t="shared" si="7"/>
        <v>0</v>
      </c>
      <c r="H519" s="1042" t="str">
        <f>IF(C519="","",VLOOKUP(C519,Compte!$A$3:$B$346,2,0))</f>
        <v/>
      </c>
      <c r="I519" s="1043" t="str">
        <f>IF(D519="","",VLOOKUP(D519,Compte!$A$3:$B$346,2,0))</f>
        <v/>
      </c>
    </row>
    <row r="520" spans="1:9">
      <c r="A520" s="1206"/>
      <c r="B520" s="606" t="s">
        <v>1011</v>
      </c>
      <c r="C520" s="1047">
        <v>476</v>
      </c>
      <c r="D520" s="1050"/>
      <c r="E520" s="1068">
        <v>500</v>
      </c>
      <c r="F520" s="1044"/>
      <c r="G520" s="1077">
        <f t="shared" ref="G520:G583" si="8">IF(C520="",F520,E520)</f>
        <v>500</v>
      </c>
      <c r="H520" s="1042" t="str">
        <f>IF(C520="","",VLOOKUP(C520,Compte!$A$3:$B$346,2,0))</f>
        <v>Actif de régulation (Charge payée d'avance, produit à recevoir)</v>
      </c>
      <c r="I520" s="1043" t="str">
        <f>IF(D520="","",VLOOKUP(D520,Compte!$A$3:$B$346,2,0))</f>
        <v/>
      </c>
    </row>
    <row r="521" spans="1:9">
      <c r="A521" s="1206"/>
      <c r="B521" s="606" t="s">
        <v>1012</v>
      </c>
      <c r="C521" s="1058"/>
      <c r="D521" s="1050">
        <v>771</v>
      </c>
      <c r="E521" s="1068"/>
      <c r="F521" s="1044">
        <v>500</v>
      </c>
      <c r="G521" s="1077">
        <f t="shared" si="8"/>
        <v>500</v>
      </c>
      <c r="H521" s="1042" t="str">
        <f>IF(C521="","",VLOOKUP(C521,Compte!$A$3:$B$346,2,0))</f>
        <v/>
      </c>
      <c r="I521" s="1043" t="str">
        <f>IF(D521="","",VLOOKUP(D521,Compte!$A$3:$B$346,2,0))</f>
        <v>Intérêts de prêts accordés</v>
      </c>
    </row>
    <row r="522" spans="1:9">
      <c r="A522" s="1206"/>
      <c r="B522" s="1049"/>
      <c r="C522" s="1059"/>
      <c r="D522" s="1063"/>
      <c r="E522" s="1068"/>
      <c r="F522" s="1044"/>
      <c r="G522" s="1077">
        <f t="shared" si="8"/>
        <v>0</v>
      </c>
      <c r="H522" s="1042" t="str">
        <f>IF(C522="","",VLOOKUP(C522,Compte!$A$3:$B$346,2,0))</f>
        <v/>
      </c>
      <c r="I522" s="1043" t="str">
        <f>IF(D522="","",VLOOKUP(D522,Compte!$A$3:$B$346,2,0))</f>
        <v/>
      </c>
    </row>
    <row r="523" spans="1:9">
      <c r="A523" s="1206"/>
      <c r="B523" s="606" t="s">
        <v>1006</v>
      </c>
      <c r="C523" s="1046">
        <v>622</v>
      </c>
      <c r="D523" s="1048"/>
      <c r="E523" s="1068">
        <v>10000</v>
      </c>
      <c r="F523" s="1044"/>
      <c r="G523" s="1077">
        <f t="shared" si="8"/>
        <v>10000</v>
      </c>
      <c r="H523" s="1042" t="str">
        <f>IF(C523="","",VLOOKUP(C523,Compte!$A$3:$B$346,2,0))</f>
        <v>Location et charges locatives</v>
      </c>
      <c r="I523" s="1043" t="str">
        <f>IF(D523="","",VLOOKUP(D523,Compte!$A$3:$B$346,2,0))</f>
        <v/>
      </c>
    </row>
    <row r="524" spans="1:9">
      <c r="A524" s="1206"/>
      <c r="B524" s="606" t="s">
        <v>1569</v>
      </c>
      <c r="C524" s="1058"/>
      <c r="D524" s="1050">
        <v>477</v>
      </c>
      <c r="E524" s="1068"/>
      <c r="F524" s="1044">
        <v>10000</v>
      </c>
      <c r="G524" s="1077">
        <f t="shared" si="8"/>
        <v>10000</v>
      </c>
      <c r="H524" s="1042" t="str">
        <f>IF(C524="","",VLOOKUP(C524,Compte!$A$3:$B$346,2,0))</f>
        <v/>
      </c>
      <c r="I524" s="1043" t="str">
        <f>IF(D524="","",VLOOKUP(D524,Compte!$A$3:$B$346,2,0))</f>
        <v>Passif de régulation , Charge à payer, Produits payés d'avance</v>
      </c>
    </row>
    <row r="525" spans="1:9">
      <c r="A525" s="1206"/>
      <c r="B525" s="1049"/>
      <c r="C525" s="1059"/>
      <c r="D525" s="1063"/>
      <c r="E525" s="1068"/>
      <c r="F525" s="1044"/>
      <c r="G525" s="1077">
        <f t="shared" si="8"/>
        <v>0</v>
      </c>
      <c r="H525" s="1042" t="str">
        <f>IF(C525="","",VLOOKUP(C525,Compte!$A$3:$B$346,2,0))</f>
        <v/>
      </c>
      <c r="I525" s="1043" t="str">
        <f>IF(D525="","",VLOOKUP(D525,Compte!$A$3:$B$346,2,0))</f>
        <v/>
      </c>
    </row>
    <row r="526" spans="1:9">
      <c r="A526" s="1206"/>
      <c r="B526" s="606" t="s">
        <v>1013</v>
      </c>
      <c r="C526" s="1047">
        <v>771</v>
      </c>
      <c r="D526" s="1050"/>
      <c r="E526" s="1068">
        <v>100</v>
      </c>
      <c r="F526" s="1044"/>
      <c r="G526" s="1077">
        <f t="shared" si="8"/>
        <v>100</v>
      </c>
      <c r="H526" s="1042" t="str">
        <f>IF(C526="","",VLOOKUP(C526,Compte!$A$3:$B$346,2,0))</f>
        <v>Intérêts de prêts accordés</v>
      </c>
      <c r="I526" s="1043" t="str">
        <f>IF(D526="","",VLOOKUP(D526,Compte!$A$3:$B$346,2,0))</f>
        <v/>
      </c>
    </row>
    <row r="527" spans="1:9">
      <c r="A527" s="1206"/>
      <c r="B527" s="606" t="s">
        <v>1014</v>
      </c>
      <c r="C527" s="1058"/>
      <c r="D527" s="1050">
        <v>477</v>
      </c>
      <c r="E527" s="1068"/>
      <c r="F527" s="1044">
        <v>100</v>
      </c>
      <c r="G527" s="1077">
        <f t="shared" si="8"/>
        <v>100</v>
      </c>
      <c r="H527" s="1042" t="str">
        <f>IF(C527="","",VLOOKUP(C527,Compte!$A$3:$B$346,2,0))</f>
        <v/>
      </c>
      <c r="I527" s="1043" t="str">
        <f>IF(D527="","",VLOOKUP(D527,Compte!$A$3:$B$346,2,0))</f>
        <v>Passif de régulation , Charge à payer, Produits payés d'avance</v>
      </c>
    </row>
    <row r="528" spans="1:9">
      <c r="A528" s="1206"/>
      <c r="B528" s="1049"/>
      <c r="C528" s="1059"/>
      <c r="D528" s="1063"/>
      <c r="E528" s="1068"/>
      <c r="F528" s="1044"/>
      <c r="G528" s="1077">
        <f t="shared" si="8"/>
        <v>0</v>
      </c>
      <c r="H528" s="1042" t="str">
        <f>IF(C528="","",VLOOKUP(C528,Compte!$A$3:$B$346,2,0))</f>
        <v/>
      </c>
      <c r="I528" s="1043" t="str">
        <f>IF(D528="","",VLOOKUP(D528,Compte!$A$3:$B$346,2,0))</f>
        <v/>
      </c>
    </row>
    <row r="529" spans="1:9">
      <c r="A529" s="1206"/>
      <c r="B529" s="606" t="s">
        <v>1015</v>
      </c>
      <c r="C529" s="1047">
        <v>830</v>
      </c>
      <c r="D529" s="1050"/>
      <c r="E529" s="1068">
        <v>2000</v>
      </c>
      <c r="F529" s="1044"/>
      <c r="G529" s="1077">
        <f t="shared" si="8"/>
        <v>2000</v>
      </c>
      <c r="H529" s="1042" t="str">
        <f>IF(C529="","",VLOOKUP(C529,Compte!$A$3:$B$346,2,0))</f>
        <v>Charges hors activité ordinaire</v>
      </c>
      <c r="I529" s="1043" t="str">
        <f>IF(D529="","",VLOOKUP(D529,Compte!$A$3:$B$346,2,0))</f>
        <v/>
      </c>
    </row>
    <row r="530" spans="1:9">
      <c r="A530" s="1206"/>
      <c r="B530" s="606" t="s">
        <v>1016</v>
      </c>
      <c r="C530" s="1058"/>
      <c r="D530" s="1050">
        <v>477</v>
      </c>
      <c r="E530" s="1068"/>
      <c r="F530" s="1044">
        <v>2000</v>
      </c>
      <c r="G530" s="1077">
        <f t="shared" si="8"/>
        <v>2000</v>
      </c>
      <c r="H530" s="1042" t="str">
        <f>IF(C530="","",VLOOKUP(C530,Compte!$A$3:$B$346,2,0))</f>
        <v/>
      </c>
      <c r="I530" s="1043" t="str">
        <f>IF(D530="","",VLOOKUP(D530,Compte!$A$3:$B$346,2,0))</f>
        <v>Passif de régulation , Charge à payer, Produits payés d'avance</v>
      </c>
    </row>
    <row r="531" spans="1:9">
      <c r="A531" s="1206"/>
      <c r="B531" s="1080"/>
      <c r="C531" s="1081"/>
      <c r="D531" s="1082"/>
      <c r="E531" s="1068"/>
      <c r="F531" s="1044"/>
      <c r="G531" s="1077">
        <f t="shared" si="8"/>
        <v>0</v>
      </c>
      <c r="H531" s="1042" t="str">
        <f>IF(C531="","",VLOOKUP(C531,Compte!$A$3:$B$346,2,0))</f>
        <v/>
      </c>
      <c r="I531" s="1043" t="str">
        <f>IF(D531="","",VLOOKUP(D531,Compte!$A$3:$B$346,2,0))</f>
        <v/>
      </c>
    </row>
    <row r="532" spans="1:9">
      <c r="A532" s="1206"/>
      <c r="B532" s="606"/>
      <c r="C532" s="1046"/>
      <c r="D532" s="1048"/>
      <c r="E532" s="1068"/>
      <c r="F532" s="1044"/>
      <c r="G532" s="1077">
        <f t="shared" si="8"/>
        <v>0</v>
      </c>
      <c r="H532" s="1042" t="str">
        <f>IF(C532="","",VLOOKUP(C532,Compte!$A$3:$B$346,2,0))</f>
        <v/>
      </c>
      <c r="I532" s="1043" t="str">
        <f>IF(D532="","",VLOOKUP(D532,Compte!$A$3:$B$346,2,0))</f>
        <v/>
      </c>
    </row>
    <row r="533" spans="1:9">
      <c r="A533" s="1206"/>
      <c r="B533" s="606"/>
      <c r="C533" s="1046"/>
      <c r="D533" s="1048"/>
      <c r="E533" s="1068"/>
      <c r="F533" s="1044"/>
      <c r="G533" s="1077">
        <f t="shared" si="8"/>
        <v>0</v>
      </c>
      <c r="H533" s="1042" t="str">
        <f>IF(C533="","",VLOOKUP(C533,Compte!$A$3:$B$346,2,0))</f>
        <v/>
      </c>
      <c r="I533" s="1043" t="str">
        <f>IF(D533="","",VLOOKUP(D533,Compte!$A$3:$B$346,2,0))</f>
        <v/>
      </c>
    </row>
    <row r="534" spans="1:9">
      <c r="A534" s="1206"/>
      <c r="B534" s="606"/>
      <c r="C534" s="1046"/>
      <c r="D534" s="1048"/>
      <c r="E534" s="1068"/>
      <c r="F534" s="1044"/>
      <c r="G534" s="1077">
        <f t="shared" si="8"/>
        <v>0</v>
      </c>
      <c r="H534" s="1042" t="str">
        <f>IF(C534="","",VLOOKUP(C534,Compte!$A$3:$B$346,2,0))</f>
        <v/>
      </c>
      <c r="I534" s="1043" t="str">
        <f>IF(D534="","",VLOOKUP(D534,Compte!$A$3:$B$346,2,0))</f>
        <v/>
      </c>
    </row>
    <row r="535" spans="1:9">
      <c r="A535" s="1206"/>
      <c r="B535" s="606"/>
      <c r="C535" s="1046"/>
      <c r="D535" s="1048"/>
      <c r="E535" s="1068"/>
      <c r="F535" s="1044"/>
      <c r="G535" s="1077">
        <f t="shared" si="8"/>
        <v>0</v>
      </c>
      <c r="H535" s="1042" t="str">
        <f>IF(C535="","",VLOOKUP(C535,Compte!$A$3:$B$346,2,0))</f>
        <v/>
      </c>
      <c r="I535" s="1043" t="str">
        <f>IF(D535="","",VLOOKUP(D535,Compte!$A$3:$B$346,2,0))</f>
        <v/>
      </c>
    </row>
    <row r="536" spans="1:9">
      <c r="A536" s="1206"/>
      <c r="B536" s="606"/>
      <c r="C536" s="1046"/>
      <c r="D536" s="1048"/>
      <c r="E536" s="1068"/>
      <c r="F536" s="1044"/>
      <c r="G536" s="1077">
        <f t="shared" si="8"/>
        <v>0</v>
      </c>
      <c r="H536" s="1042" t="str">
        <f>IF(C536="","",VLOOKUP(C536,Compte!$A$3:$B$346,2,0))</f>
        <v/>
      </c>
      <c r="I536" s="1043" t="str">
        <f>IF(D536="","",VLOOKUP(D536,Compte!$A$3:$B$346,2,0))</f>
        <v/>
      </c>
    </row>
    <row r="537" spans="1:9">
      <c r="A537" s="1206"/>
      <c r="B537" s="606"/>
      <c r="C537" s="1046"/>
      <c r="D537" s="1048"/>
      <c r="E537" s="1068"/>
      <c r="F537" s="1044"/>
      <c r="G537" s="1077">
        <f t="shared" si="8"/>
        <v>0</v>
      </c>
      <c r="H537" s="1042" t="str">
        <f>IF(C537="","",VLOOKUP(C537,Compte!$A$3:$B$346,2,0))</f>
        <v/>
      </c>
      <c r="I537" s="1043" t="str">
        <f>IF(D537="","",VLOOKUP(D537,Compte!$A$3:$B$346,2,0))</f>
        <v/>
      </c>
    </row>
    <row r="538" spans="1:9">
      <c r="A538" s="1206"/>
      <c r="B538" s="606"/>
      <c r="C538" s="1046"/>
      <c r="D538" s="1048"/>
      <c r="E538" s="1068"/>
      <c r="F538" s="1044"/>
      <c r="G538" s="1077">
        <f t="shared" si="8"/>
        <v>0</v>
      </c>
      <c r="H538" s="1042" t="str">
        <f>IF(C538="","",VLOOKUP(C538,Compte!$A$3:$B$346,2,0))</f>
        <v/>
      </c>
      <c r="I538" s="1043" t="str">
        <f>IF(D538="","",VLOOKUP(D538,Compte!$A$3:$B$346,2,0))</f>
        <v/>
      </c>
    </row>
    <row r="539" spans="1:9">
      <c r="A539" s="1206"/>
      <c r="B539" s="606"/>
      <c r="C539" s="1046"/>
      <c r="D539" s="1048"/>
      <c r="E539" s="1068"/>
      <c r="F539" s="1044"/>
      <c r="G539" s="1077">
        <f t="shared" si="8"/>
        <v>0</v>
      </c>
      <c r="H539" s="1042" t="str">
        <f>IF(C539="","",VLOOKUP(C539,Compte!$A$3:$B$346,2,0))</f>
        <v/>
      </c>
      <c r="I539" s="1043" t="str">
        <f>IF(D539="","",VLOOKUP(D539,Compte!$A$3:$B$346,2,0))</f>
        <v/>
      </c>
    </row>
    <row r="540" spans="1:9">
      <c r="A540" s="1206"/>
      <c r="B540" s="606"/>
      <c r="C540" s="1046"/>
      <c r="D540" s="1048"/>
      <c r="E540" s="1068"/>
      <c r="F540" s="1044"/>
      <c r="G540" s="1077">
        <f t="shared" si="8"/>
        <v>0</v>
      </c>
      <c r="H540" s="1042" t="str">
        <f>IF(C540="","",VLOOKUP(C540,Compte!$A$3:$B$346,2,0))</f>
        <v/>
      </c>
      <c r="I540" s="1043" t="str">
        <f>IF(D540="","",VLOOKUP(D540,Compte!$A$3:$B$346,2,0))</f>
        <v/>
      </c>
    </row>
    <row r="541" spans="1:9">
      <c r="A541" s="1206"/>
      <c r="B541" s="606"/>
      <c r="C541" s="1046"/>
      <c r="D541" s="1048"/>
      <c r="E541" s="1068"/>
      <c r="F541" s="1044"/>
      <c r="G541" s="1077">
        <f t="shared" si="8"/>
        <v>0</v>
      </c>
      <c r="H541" s="1042" t="str">
        <f>IF(C541="","",VLOOKUP(C541,Compte!$A$3:$B$346,2,0))</f>
        <v/>
      </c>
      <c r="I541" s="1043" t="str">
        <f>IF(D541="","",VLOOKUP(D541,Compte!$A$3:$B$346,2,0))</f>
        <v/>
      </c>
    </row>
    <row r="542" spans="1:9">
      <c r="A542" s="1206"/>
      <c r="B542" s="606"/>
      <c r="C542" s="1046"/>
      <c r="D542" s="1048"/>
      <c r="E542" s="1068"/>
      <c r="F542" s="1044"/>
      <c r="G542" s="1077">
        <f t="shared" si="8"/>
        <v>0</v>
      </c>
      <c r="H542" s="1042" t="str">
        <f>IF(C542="","",VLOOKUP(C542,Compte!$A$3:$B$346,2,0))</f>
        <v/>
      </c>
      <c r="I542" s="1043" t="str">
        <f>IF(D542="","",VLOOKUP(D542,Compte!$A$3:$B$346,2,0))</f>
        <v/>
      </c>
    </row>
    <row r="543" spans="1:9">
      <c r="A543" s="1206"/>
      <c r="B543" s="606"/>
      <c r="C543" s="1046"/>
      <c r="D543" s="1048"/>
      <c r="E543" s="1068"/>
      <c r="F543" s="1044"/>
      <c r="G543" s="1077">
        <f t="shared" si="8"/>
        <v>0</v>
      </c>
      <c r="H543" s="1042" t="str">
        <f>IF(C543="","",VLOOKUP(C543,Compte!$A$3:$B$346,2,0))</f>
        <v/>
      </c>
      <c r="I543" s="1043" t="str">
        <f>IF(D543="","",VLOOKUP(D543,Compte!$A$3:$B$346,2,0))</f>
        <v/>
      </c>
    </row>
    <row r="544" spans="1:9">
      <c r="A544" s="1206"/>
      <c r="B544" s="606"/>
      <c r="C544" s="1046"/>
      <c r="D544" s="1048"/>
      <c r="E544" s="1068"/>
      <c r="F544" s="1044"/>
      <c r="G544" s="1077">
        <f t="shared" si="8"/>
        <v>0</v>
      </c>
      <c r="H544" s="1042" t="str">
        <f>IF(C544="","",VLOOKUP(C544,Compte!$A$3:$B$346,2,0))</f>
        <v/>
      </c>
      <c r="I544" s="1043" t="str">
        <f>IF(D544="","",VLOOKUP(D544,Compte!$A$3:$B$346,2,0))</f>
        <v/>
      </c>
    </row>
    <row r="545" spans="1:9">
      <c r="A545" s="1206"/>
      <c r="B545" s="606"/>
      <c r="C545" s="1046"/>
      <c r="D545" s="1048"/>
      <c r="E545" s="1068"/>
      <c r="F545" s="1044"/>
      <c r="G545" s="1077">
        <f t="shared" si="8"/>
        <v>0</v>
      </c>
      <c r="H545" s="1042" t="str">
        <f>IF(C545="","",VLOOKUP(C545,Compte!$A$3:$B$346,2,0))</f>
        <v/>
      </c>
      <c r="I545" s="1043" t="str">
        <f>IF(D545="","",VLOOKUP(D545,Compte!$A$3:$B$346,2,0))</f>
        <v/>
      </c>
    </row>
    <row r="546" spans="1:9">
      <c r="A546" s="1206"/>
      <c r="B546" s="606"/>
      <c r="C546" s="1046"/>
      <c r="D546" s="1048"/>
      <c r="E546" s="1068"/>
      <c r="F546" s="1044"/>
      <c r="G546" s="1077">
        <f t="shared" si="8"/>
        <v>0</v>
      </c>
      <c r="H546" s="1042" t="str">
        <f>IF(C546="","",VLOOKUP(C546,Compte!$A$3:$B$346,2,0))</f>
        <v/>
      </c>
      <c r="I546" s="1043" t="str">
        <f>IF(D546="","",VLOOKUP(D546,Compte!$A$3:$B$346,2,0))</f>
        <v/>
      </c>
    </row>
    <row r="547" spans="1:9">
      <c r="A547" s="1206"/>
      <c r="B547" s="606"/>
      <c r="C547" s="1046"/>
      <c r="D547" s="1048"/>
      <c r="E547" s="1068"/>
      <c r="F547" s="1044"/>
      <c r="G547" s="1077">
        <f t="shared" si="8"/>
        <v>0</v>
      </c>
      <c r="H547" s="1042" t="str">
        <f>IF(C547="","",VLOOKUP(C547,Compte!$A$3:$B$346,2,0))</f>
        <v/>
      </c>
      <c r="I547" s="1043" t="str">
        <f>IF(D547="","",VLOOKUP(D547,Compte!$A$3:$B$346,2,0))</f>
        <v/>
      </c>
    </row>
    <row r="548" spans="1:9">
      <c r="A548" s="1206"/>
      <c r="B548" s="606"/>
      <c r="C548" s="1046"/>
      <c r="D548" s="1048"/>
      <c r="E548" s="1068"/>
      <c r="F548" s="1044"/>
      <c r="G548" s="1077">
        <f t="shared" si="8"/>
        <v>0</v>
      </c>
      <c r="H548" s="1042" t="str">
        <f>IF(C548="","",VLOOKUP(C548,Compte!$A$3:$B$346,2,0))</f>
        <v/>
      </c>
      <c r="I548" s="1043" t="str">
        <f>IF(D548="","",VLOOKUP(D548,Compte!$A$3:$B$346,2,0))</f>
        <v/>
      </c>
    </row>
    <row r="549" spans="1:9">
      <c r="A549" s="1206"/>
      <c r="B549" s="606"/>
      <c r="C549" s="1046"/>
      <c r="D549" s="1048"/>
      <c r="E549" s="1068"/>
      <c r="F549" s="1044"/>
      <c r="G549" s="1077">
        <f t="shared" si="8"/>
        <v>0</v>
      </c>
      <c r="H549" s="1042" t="str">
        <f>IF(C549="","",VLOOKUP(C549,Compte!$A$3:$B$346,2,0))</f>
        <v/>
      </c>
      <c r="I549" s="1043" t="str">
        <f>IF(D549="","",VLOOKUP(D549,Compte!$A$3:$B$346,2,0))</f>
        <v/>
      </c>
    </row>
    <row r="550" spans="1:9">
      <c r="A550" s="1206"/>
      <c r="B550" s="606"/>
      <c r="C550" s="1046"/>
      <c r="D550" s="1048"/>
      <c r="E550" s="1068"/>
      <c r="F550" s="1044"/>
      <c r="G550" s="1077">
        <f t="shared" si="8"/>
        <v>0</v>
      </c>
      <c r="H550" s="1042" t="str">
        <f>IF(C550="","",VLOOKUP(C550,Compte!$A$3:$B$346,2,0))</f>
        <v/>
      </c>
      <c r="I550" s="1043" t="str">
        <f>IF(D550="","",VLOOKUP(D550,Compte!$A$3:$B$346,2,0))</f>
        <v/>
      </c>
    </row>
    <row r="551" spans="1:9">
      <c r="A551" s="1206"/>
      <c r="B551" s="606"/>
      <c r="C551" s="1046"/>
      <c r="D551" s="1048"/>
      <c r="E551" s="1068"/>
      <c r="F551" s="1044"/>
      <c r="G551" s="1077">
        <f t="shared" si="8"/>
        <v>0</v>
      </c>
      <c r="H551" s="1042" t="str">
        <f>IF(C551="","",VLOOKUP(C551,Compte!$A$3:$B$346,2,0))</f>
        <v/>
      </c>
      <c r="I551" s="1043" t="str">
        <f>IF(D551="","",VLOOKUP(D551,Compte!$A$3:$B$346,2,0))</f>
        <v/>
      </c>
    </row>
    <row r="552" spans="1:9">
      <c r="A552" s="1206"/>
      <c r="B552" s="606"/>
      <c r="C552" s="1046"/>
      <c r="D552" s="1048"/>
      <c r="E552" s="1068"/>
      <c r="F552" s="1044"/>
      <c r="G552" s="1077">
        <f t="shared" si="8"/>
        <v>0</v>
      </c>
      <c r="H552" s="1042" t="str">
        <f>IF(C552="","",VLOOKUP(C552,Compte!$A$3:$B$346,2,0))</f>
        <v/>
      </c>
      <c r="I552" s="1043" t="str">
        <f>IF(D552="","",VLOOKUP(D552,Compte!$A$3:$B$346,2,0))</f>
        <v/>
      </c>
    </row>
    <row r="553" spans="1:9">
      <c r="A553" s="1206"/>
      <c r="B553" s="606"/>
      <c r="C553" s="1046"/>
      <c r="D553" s="1048"/>
      <c r="E553" s="1068"/>
      <c r="F553" s="1044"/>
      <c r="G553" s="1077">
        <f t="shared" si="8"/>
        <v>0</v>
      </c>
      <c r="H553" s="1042" t="str">
        <f>IF(C553="","",VLOOKUP(C553,Compte!$A$3:$B$346,2,0))</f>
        <v/>
      </c>
      <c r="I553" s="1043" t="str">
        <f>IF(D553="","",VLOOKUP(D553,Compte!$A$3:$B$346,2,0))</f>
        <v/>
      </c>
    </row>
    <row r="554" spans="1:9">
      <c r="A554" s="1206"/>
      <c r="B554" s="606"/>
      <c r="C554" s="1046"/>
      <c r="D554" s="1048"/>
      <c r="E554" s="1068"/>
      <c r="F554" s="1044"/>
      <c r="G554" s="1077">
        <f t="shared" si="8"/>
        <v>0</v>
      </c>
      <c r="H554" s="1042" t="str">
        <f>IF(C554="","",VLOOKUP(C554,Compte!$A$3:$B$346,2,0))</f>
        <v/>
      </c>
      <c r="I554" s="1043" t="str">
        <f>IF(D554="","",VLOOKUP(D554,Compte!$A$3:$B$346,2,0))</f>
        <v/>
      </c>
    </row>
    <row r="555" spans="1:9">
      <c r="A555" s="1206"/>
      <c r="B555" s="606"/>
      <c r="C555" s="1046"/>
      <c r="D555" s="1048"/>
      <c r="E555" s="1068"/>
      <c r="F555" s="1044"/>
      <c r="G555" s="1077">
        <f t="shared" si="8"/>
        <v>0</v>
      </c>
      <c r="H555" s="1042" t="str">
        <f>IF(C555="","",VLOOKUP(C555,Compte!$A$3:$B$346,2,0))</f>
        <v/>
      </c>
      <c r="I555" s="1043" t="str">
        <f>IF(D555="","",VLOOKUP(D555,Compte!$A$3:$B$346,2,0))</f>
        <v/>
      </c>
    </row>
    <row r="556" spans="1:9">
      <c r="A556" s="1206"/>
      <c r="B556" s="606"/>
      <c r="C556" s="1046"/>
      <c r="D556" s="1048"/>
      <c r="E556" s="1068"/>
      <c r="F556" s="1044"/>
      <c r="G556" s="1077">
        <f t="shared" si="8"/>
        <v>0</v>
      </c>
      <c r="H556" s="1042" t="str">
        <f>IF(C556="","",VLOOKUP(C556,Compte!$A$3:$B$346,2,0))</f>
        <v/>
      </c>
      <c r="I556" s="1043" t="str">
        <f>IF(D556="","",VLOOKUP(D556,Compte!$A$3:$B$346,2,0))</f>
        <v/>
      </c>
    </row>
    <row r="557" spans="1:9">
      <c r="A557" s="1206"/>
      <c r="B557" s="606"/>
      <c r="C557" s="1046"/>
      <c r="D557" s="1048"/>
      <c r="E557" s="1068"/>
      <c r="F557" s="1044"/>
      <c r="G557" s="1077">
        <f t="shared" si="8"/>
        <v>0</v>
      </c>
      <c r="H557" s="1042" t="str">
        <f>IF(C557="","",VLOOKUP(C557,Compte!$A$3:$B$346,2,0))</f>
        <v/>
      </c>
      <c r="I557" s="1043" t="str">
        <f>IF(D557="","",VLOOKUP(D557,Compte!$A$3:$B$346,2,0))</f>
        <v/>
      </c>
    </row>
    <row r="558" spans="1:9">
      <c r="A558" s="1206"/>
      <c r="B558" s="606"/>
      <c r="C558" s="1046"/>
      <c r="D558" s="1048"/>
      <c r="E558" s="1068"/>
      <c r="F558" s="1044"/>
      <c r="G558" s="1077">
        <f t="shared" si="8"/>
        <v>0</v>
      </c>
      <c r="H558" s="1042" t="str">
        <f>IF(C558="","",VLOOKUP(C558,Compte!$A$3:$B$346,2,0))</f>
        <v/>
      </c>
      <c r="I558" s="1043" t="str">
        <f>IF(D558="","",VLOOKUP(D558,Compte!$A$3:$B$346,2,0))</f>
        <v/>
      </c>
    </row>
    <row r="559" spans="1:9">
      <c r="A559" s="1206"/>
      <c r="B559" s="606"/>
      <c r="C559" s="1046"/>
      <c r="D559" s="1048"/>
      <c r="E559" s="1068"/>
      <c r="F559" s="1044"/>
      <c r="G559" s="1077">
        <f t="shared" si="8"/>
        <v>0</v>
      </c>
      <c r="H559" s="1042" t="str">
        <f>IF(C559="","",VLOOKUP(C559,Compte!$A$3:$B$346,2,0))</f>
        <v/>
      </c>
      <c r="I559" s="1043" t="str">
        <f>IF(D559="","",VLOOKUP(D559,Compte!$A$3:$B$346,2,0))</f>
        <v/>
      </c>
    </row>
    <row r="560" spans="1:9">
      <c r="A560" s="1206"/>
      <c r="B560" s="606"/>
      <c r="C560" s="1046"/>
      <c r="D560" s="1048"/>
      <c r="E560" s="1068"/>
      <c r="F560" s="1044"/>
      <c r="G560" s="1077">
        <f t="shared" si="8"/>
        <v>0</v>
      </c>
      <c r="H560" s="1042" t="str">
        <f>IF(C560="","",VLOOKUP(C560,Compte!$A$3:$B$346,2,0))</f>
        <v/>
      </c>
      <c r="I560" s="1043" t="str">
        <f>IF(D560="","",VLOOKUP(D560,Compte!$A$3:$B$346,2,0))</f>
        <v/>
      </c>
    </row>
    <row r="561" spans="1:9">
      <c r="A561" s="1206"/>
      <c r="B561" s="606"/>
      <c r="C561" s="1046"/>
      <c r="D561" s="1048"/>
      <c r="E561" s="1068"/>
      <c r="F561" s="1044"/>
      <c r="G561" s="1077">
        <f t="shared" si="8"/>
        <v>0</v>
      </c>
      <c r="H561" s="1042" t="str">
        <f>IF(C561="","",VLOOKUP(C561,Compte!$A$3:$B$346,2,0))</f>
        <v/>
      </c>
      <c r="I561" s="1043" t="str">
        <f>IF(D561="","",VLOOKUP(D561,Compte!$A$3:$B$346,2,0))</f>
        <v/>
      </c>
    </row>
    <row r="562" spans="1:9">
      <c r="A562" s="1206"/>
      <c r="B562" s="606"/>
      <c r="C562" s="1046"/>
      <c r="D562" s="1048"/>
      <c r="E562" s="1068"/>
      <c r="F562" s="1044"/>
      <c r="G562" s="1077">
        <f t="shared" si="8"/>
        <v>0</v>
      </c>
      <c r="H562" s="1042" t="str">
        <f>IF(C562="","",VLOOKUP(C562,Compte!$A$3:$B$346,2,0))</f>
        <v/>
      </c>
      <c r="I562" s="1043" t="str">
        <f>IF(D562="","",VLOOKUP(D562,Compte!$A$3:$B$346,2,0))</f>
        <v/>
      </c>
    </row>
    <row r="563" spans="1:9">
      <c r="A563" s="1206"/>
      <c r="B563" s="606"/>
      <c r="C563" s="1046"/>
      <c r="D563" s="1048"/>
      <c r="E563" s="1068"/>
      <c r="F563" s="1044"/>
      <c r="G563" s="1077">
        <f t="shared" si="8"/>
        <v>0</v>
      </c>
      <c r="H563" s="1042" t="str">
        <f>IF(C563="","",VLOOKUP(C563,Compte!$A$3:$B$346,2,0))</f>
        <v/>
      </c>
      <c r="I563" s="1043" t="str">
        <f>IF(D563="","",VLOOKUP(D563,Compte!$A$3:$B$346,2,0))</f>
        <v/>
      </c>
    </row>
    <row r="564" spans="1:9">
      <c r="A564" s="1206"/>
      <c r="B564" s="606"/>
      <c r="C564" s="1046"/>
      <c r="D564" s="1048"/>
      <c r="E564" s="1068"/>
      <c r="F564" s="1044"/>
      <c r="G564" s="1077">
        <f t="shared" si="8"/>
        <v>0</v>
      </c>
      <c r="H564" s="1042" t="str">
        <f>IF(C564="","",VLOOKUP(C564,Compte!$A$3:$B$346,2,0))</f>
        <v/>
      </c>
      <c r="I564" s="1043" t="str">
        <f>IF(D564="","",VLOOKUP(D564,Compte!$A$3:$B$346,2,0))</f>
        <v/>
      </c>
    </row>
    <row r="565" spans="1:9">
      <c r="A565" s="1206"/>
      <c r="B565" s="606"/>
      <c r="C565" s="1046"/>
      <c r="D565" s="1048"/>
      <c r="E565" s="1068"/>
      <c r="F565" s="1044"/>
      <c r="G565" s="1077">
        <f t="shared" si="8"/>
        <v>0</v>
      </c>
      <c r="H565" s="1042" t="str">
        <f>IF(C565="","",VLOOKUP(C565,Compte!$A$3:$B$346,2,0))</f>
        <v/>
      </c>
      <c r="I565" s="1043" t="str">
        <f>IF(D565="","",VLOOKUP(D565,Compte!$A$3:$B$346,2,0))</f>
        <v/>
      </c>
    </row>
    <row r="566" spans="1:9">
      <c r="A566" s="1206"/>
      <c r="B566" s="606"/>
      <c r="C566" s="1046"/>
      <c r="D566" s="1048"/>
      <c r="E566" s="1068"/>
      <c r="F566" s="1044"/>
      <c r="G566" s="1077">
        <f t="shared" si="8"/>
        <v>0</v>
      </c>
      <c r="H566" s="1042" t="str">
        <f>IF(C566="","",VLOOKUP(C566,Compte!$A$3:$B$346,2,0))</f>
        <v/>
      </c>
      <c r="I566" s="1043" t="str">
        <f>IF(D566="","",VLOOKUP(D566,Compte!$A$3:$B$346,2,0))</f>
        <v/>
      </c>
    </row>
    <row r="567" spans="1:9">
      <c r="A567" s="1206"/>
      <c r="B567" s="606"/>
      <c r="C567" s="1046"/>
      <c r="D567" s="1048"/>
      <c r="E567" s="1068"/>
      <c r="F567" s="1044"/>
      <c r="G567" s="1077">
        <f t="shared" si="8"/>
        <v>0</v>
      </c>
      <c r="H567" s="1042" t="str">
        <f>IF(C567="","",VLOOKUP(C567,Compte!$A$3:$B$346,2,0))</f>
        <v/>
      </c>
      <c r="I567" s="1043" t="str">
        <f>IF(D567="","",VLOOKUP(D567,Compte!$A$3:$B$346,2,0))</f>
        <v/>
      </c>
    </row>
    <row r="568" spans="1:9">
      <c r="A568" s="1206"/>
      <c r="B568" s="606"/>
      <c r="C568" s="1046"/>
      <c r="D568" s="1048"/>
      <c r="E568" s="1068"/>
      <c r="F568" s="1044"/>
      <c r="G568" s="1077">
        <f t="shared" si="8"/>
        <v>0</v>
      </c>
      <c r="H568" s="1042" t="str">
        <f>IF(C568="","",VLOOKUP(C568,Compte!$A$3:$B$346,2,0))</f>
        <v/>
      </c>
      <c r="I568" s="1043" t="str">
        <f>IF(D568="","",VLOOKUP(D568,Compte!$A$3:$B$346,2,0))</f>
        <v/>
      </c>
    </row>
    <row r="569" spans="1:9">
      <c r="A569" s="1206"/>
      <c r="B569" s="606"/>
      <c r="C569" s="1046"/>
      <c r="D569" s="1048"/>
      <c r="E569" s="1068"/>
      <c r="F569" s="1044"/>
      <c r="G569" s="1077">
        <f t="shared" si="8"/>
        <v>0</v>
      </c>
      <c r="H569" s="1042" t="str">
        <f>IF(C569="","",VLOOKUP(C569,Compte!$A$3:$B$346,2,0))</f>
        <v/>
      </c>
      <c r="I569" s="1043" t="str">
        <f>IF(D569="","",VLOOKUP(D569,Compte!$A$3:$B$346,2,0))</f>
        <v/>
      </c>
    </row>
    <row r="570" spans="1:9">
      <c r="A570" s="1206"/>
      <c r="B570" s="606"/>
      <c r="C570" s="1046"/>
      <c r="D570" s="1048"/>
      <c r="E570" s="1068"/>
      <c r="F570" s="1044"/>
      <c r="G570" s="1077">
        <f t="shared" si="8"/>
        <v>0</v>
      </c>
      <c r="H570" s="1042" t="str">
        <f>IF(C570="","",VLOOKUP(C570,Compte!$A$3:$B$346,2,0))</f>
        <v/>
      </c>
      <c r="I570" s="1043" t="str">
        <f>IF(D570="","",VLOOKUP(D570,Compte!$A$3:$B$346,2,0))</f>
        <v/>
      </c>
    </row>
    <row r="571" spans="1:9">
      <c r="A571" s="1206"/>
      <c r="B571" s="606"/>
      <c r="C571" s="1046"/>
      <c r="D571" s="1048"/>
      <c r="E571" s="1068"/>
      <c r="F571" s="1044"/>
      <c r="G571" s="1077">
        <f t="shared" si="8"/>
        <v>0</v>
      </c>
      <c r="H571" s="1042" t="str">
        <f>IF(C571="","",VLOOKUP(C571,Compte!$A$3:$B$346,2,0))</f>
        <v/>
      </c>
      <c r="I571" s="1043" t="str">
        <f>IF(D571="","",VLOOKUP(D571,Compte!$A$3:$B$346,2,0))</f>
        <v/>
      </c>
    </row>
    <row r="572" spans="1:9">
      <c r="A572" s="1206"/>
      <c r="B572" s="606"/>
      <c r="C572" s="1046"/>
      <c r="D572" s="1048"/>
      <c r="E572" s="1068"/>
      <c r="F572" s="1044"/>
      <c r="G572" s="1077">
        <f t="shared" si="8"/>
        <v>0</v>
      </c>
      <c r="H572" s="1042" t="str">
        <f>IF(C572="","",VLOOKUP(C572,Compte!$A$3:$B$346,2,0))</f>
        <v/>
      </c>
      <c r="I572" s="1043" t="str">
        <f>IF(D572="","",VLOOKUP(D572,Compte!$A$3:$B$346,2,0))</f>
        <v/>
      </c>
    </row>
    <row r="573" spans="1:9">
      <c r="A573" s="1206"/>
      <c r="B573" s="606"/>
      <c r="C573" s="1046"/>
      <c r="D573" s="1048"/>
      <c r="E573" s="1068"/>
      <c r="F573" s="1044"/>
      <c r="G573" s="1077">
        <f t="shared" si="8"/>
        <v>0</v>
      </c>
      <c r="H573" s="1042" t="str">
        <f>IF(C573="","",VLOOKUP(C573,Compte!$A$3:$B$346,2,0))</f>
        <v/>
      </c>
      <c r="I573" s="1043" t="str">
        <f>IF(D573="","",VLOOKUP(D573,Compte!$A$3:$B$346,2,0))</f>
        <v/>
      </c>
    </row>
    <row r="574" spans="1:9">
      <c r="A574" s="1206"/>
      <c r="B574" s="606"/>
      <c r="C574" s="1046"/>
      <c r="D574" s="1048"/>
      <c r="E574" s="1068"/>
      <c r="F574" s="1044"/>
      <c r="G574" s="1077">
        <f t="shared" si="8"/>
        <v>0</v>
      </c>
      <c r="H574" s="1042" t="str">
        <f>IF(C574="","",VLOOKUP(C574,Compte!$A$3:$B$346,2,0))</f>
        <v/>
      </c>
      <c r="I574" s="1043" t="str">
        <f>IF(D574="","",VLOOKUP(D574,Compte!$A$3:$B$346,2,0))</f>
        <v/>
      </c>
    </row>
    <row r="575" spans="1:9">
      <c r="A575" s="1206"/>
      <c r="B575" s="606"/>
      <c r="C575" s="1046"/>
      <c r="D575" s="1048"/>
      <c r="E575" s="1068"/>
      <c r="F575" s="1044"/>
      <c r="G575" s="1077">
        <f t="shared" si="8"/>
        <v>0</v>
      </c>
      <c r="H575" s="1042" t="str">
        <f>IF(C575="","",VLOOKUP(C575,Compte!$A$3:$B$346,2,0))</f>
        <v/>
      </c>
      <c r="I575" s="1043" t="str">
        <f>IF(D575="","",VLOOKUP(D575,Compte!$A$3:$B$346,2,0))</f>
        <v/>
      </c>
    </row>
    <row r="576" spans="1:9">
      <c r="A576" s="1206"/>
      <c r="B576" s="606"/>
      <c r="C576" s="1046"/>
      <c r="D576" s="1048"/>
      <c r="E576" s="1068"/>
      <c r="F576" s="1044"/>
      <c r="G576" s="1077">
        <f t="shared" si="8"/>
        <v>0</v>
      </c>
      <c r="H576" s="1042" t="str">
        <f>IF(C576="","",VLOOKUP(C576,Compte!$A$3:$B$346,2,0))</f>
        <v/>
      </c>
      <c r="I576" s="1043" t="str">
        <f>IF(D576="","",VLOOKUP(D576,Compte!$A$3:$B$346,2,0))</f>
        <v/>
      </c>
    </row>
    <row r="577" spans="1:9">
      <c r="A577" s="1206"/>
      <c r="B577" s="606"/>
      <c r="C577" s="1046"/>
      <c r="D577" s="1048"/>
      <c r="E577" s="1068"/>
      <c r="F577" s="1044"/>
      <c r="G577" s="1077">
        <f t="shared" si="8"/>
        <v>0</v>
      </c>
      <c r="H577" s="1042" t="str">
        <f>IF(C577="","",VLOOKUP(C577,Compte!$A$3:$B$346,2,0))</f>
        <v/>
      </c>
      <c r="I577" s="1043" t="str">
        <f>IF(D577="","",VLOOKUP(D577,Compte!$A$3:$B$346,2,0))</f>
        <v/>
      </c>
    </row>
    <row r="578" spans="1:9">
      <c r="A578" s="1206"/>
      <c r="B578" s="606"/>
      <c r="C578" s="1046"/>
      <c r="D578" s="1048"/>
      <c r="E578" s="1068"/>
      <c r="F578" s="1044"/>
      <c r="G578" s="1077">
        <f t="shared" si="8"/>
        <v>0</v>
      </c>
      <c r="H578" s="1042" t="str">
        <f>IF(C578="","",VLOOKUP(C578,Compte!$A$3:$B$346,2,0))</f>
        <v/>
      </c>
      <c r="I578" s="1043" t="str">
        <f>IF(D578="","",VLOOKUP(D578,Compte!$A$3:$B$346,2,0))</f>
        <v/>
      </c>
    </row>
    <row r="579" spans="1:9">
      <c r="A579" s="1206"/>
      <c r="B579" s="606"/>
      <c r="C579" s="1046"/>
      <c r="D579" s="1048"/>
      <c r="E579" s="1068"/>
      <c r="F579" s="1044"/>
      <c r="G579" s="1077">
        <f t="shared" si="8"/>
        <v>0</v>
      </c>
      <c r="H579" s="1042" t="str">
        <f>IF(C579="","",VLOOKUP(C579,Compte!$A$3:$B$346,2,0))</f>
        <v/>
      </c>
      <c r="I579" s="1043" t="str">
        <f>IF(D579="","",VLOOKUP(D579,Compte!$A$3:$B$346,2,0))</f>
        <v/>
      </c>
    </row>
    <row r="580" spans="1:9">
      <c r="A580" s="1206"/>
      <c r="B580" s="606"/>
      <c r="C580" s="1046"/>
      <c r="D580" s="1048"/>
      <c r="E580" s="1068"/>
      <c r="F580" s="1044"/>
      <c r="G580" s="1077">
        <f t="shared" si="8"/>
        <v>0</v>
      </c>
      <c r="H580" s="1042" t="str">
        <f>IF(C580="","",VLOOKUP(C580,Compte!$A$3:$B$346,2,0))</f>
        <v/>
      </c>
      <c r="I580" s="1043" t="str">
        <f>IF(D580="","",VLOOKUP(D580,Compte!$A$3:$B$346,2,0))</f>
        <v/>
      </c>
    </row>
    <row r="581" spans="1:9">
      <c r="A581" s="1206"/>
      <c r="B581" s="606"/>
      <c r="C581" s="1046"/>
      <c r="D581" s="1048"/>
      <c r="E581" s="1068"/>
      <c r="F581" s="1044"/>
      <c r="G581" s="1077">
        <f t="shared" si="8"/>
        <v>0</v>
      </c>
      <c r="H581" s="1042" t="str">
        <f>IF(C581="","",VLOOKUP(C581,Compte!$A$3:$B$346,2,0))</f>
        <v/>
      </c>
      <c r="I581" s="1043" t="str">
        <f>IF(D581="","",VLOOKUP(D581,Compte!$A$3:$B$346,2,0))</f>
        <v/>
      </c>
    </row>
    <row r="582" spans="1:9">
      <c r="A582" s="1206"/>
      <c r="B582" s="606"/>
      <c r="C582" s="1046"/>
      <c r="D582" s="1048"/>
      <c r="E582" s="1068"/>
      <c r="F582" s="1044"/>
      <c r="G582" s="1077">
        <f t="shared" si="8"/>
        <v>0</v>
      </c>
      <c r="H582" s="1042" t="str">
        <f>IF(C582="","",VLOOKUP(C582,Compte!$A$3:$B$346,2,0))</f>
        <v/>
      </c>
      <c r="I582" s="1043" t="str">
        <f>IF(D582="","",VLOOKUP(D582,Compte!$A$3:$B$346,2,0))</f>
        <v/>
      </c>
    </row>
    <row r="583" spans="1:9">
      <c r="A583" s="1206"/>
      <c r="B583" s="606"/>
      <c r="C583" s="1046"/>
      <c r="D583" s="1048"/>
      <c r="E583" s="1068"/>
      <c r="F583" s="1044"/>
      <c r="G583" s="1077">
        <f t="shared" si="8"/>
        <v>0</v>
      </c>
      <c r="H583" s="1042" t="str">
        <f>IF(C583="","",VLOOKUP(C583,Compte!$A$3:$B$346,2,0))</f>
        <v/>
      </c>
      <c r="I583" s="1043" t="str">
        <f>IF(D583="","",VLOOKUP(D583,Compte!$A$3:$B$346,2,0))</f>
        <v/>
      </c>
    </row>
    <row r="584" spans="1:9">
      <c r="A584" s="1206"/>
      <c r="B584" s="606"/>
      <c r="C584" s="1046"/>
      <c r="D584" s="1048"/>
      <c r="E584" s="1068"/>
      <c r="F584" s="1044"/>
      <c r="G584" s="1077">
        <f t="shared" ref="G584:G647" si="9">IF(C584="",F584,E584)</f>
        <v>0</v>
      </c>
      <c r="H584" s="1042" t="str">
        <f>IF(C584="","",VLOOKUP(C584,Compte!$A$3:$B$346,2,0))</f>
        <v/>
      </c>
      <c r="I584" s="1043" t="str">
        <f>IF(D584="","",VLOOKUP(D584,Compte!$A$3:$B$346,2,0))</f>
        <v/>
      </c>
    </row>
    <row r="585" spans="1:9">
      <c r="A585" s="1206"/>
      <c r="B585" s="606"/>
      <c r="C585" s="1046"/>
      <c r="D585" s="1048"/>
      <c r="E585" s="1068"/>
      <c r="F585" s="1044"/>
      <c r="G585" s="1077">
        <f t="shared" si="9"/>
        <v>0</v>
      </c>
      <c r="H585" s="1042" t="str">
        <f>IF(C585="","",VLOOKUP(C585,Compte!$A$3:$B$346,2,0))</f>
        <v/>
      </c>
      <c r="I585" s="1043" t="str">
        <f>IF(D585="","",VLOOKUP(D585,Compte!$A$3:$B$346,2,0))</f>
        <v/>
      </c>
    </row>
    <row r="586" spans="1:9">
      <c r="A586" s="1206"/>
      <c r="B586" s="606"/>
      <c r="C586" s="1046"/>
      <c r="D586" s="1048"/>
      <c r="E586" s="1068"/>
      <c r="F586" s="1044"/>
      <c r="G586" s="1077">
        <f t="shared" si="9"/>
        <v>0</v>
      </c>
      <c r="H586" s="1042" t="str">
        <f>IF(C586="","",VLOOKUP(C586,Compte!$A$3:$B$346,2,0))</f>
        <v/>
      </c>
      <c r="I586" s="1043" t="str">
        <f>IF(D586="","",VLOOKUP(D586,Compte!$A$3:$B$346,2,0))</f>
        <v/>
      </c>
    </row>
    <row r="587" spans="1:9">
      <c r="A587" s="1206"/>
      <c r="B587" s="606"/>
      <c r="C587" s="1046"/>
      <c r="D587" s="1048"/>
      <c r="E587" s="1068"/>
      <c r="F587" s="1044"/>
      <c r="G587" s="1077">
        <f t="shared" si="9"/>
        <v>0</v>
      </c>
      <c r="H587" s="1042" t="str">
        <f>IF(C587="","",VLOOKUP(C587,Compte!$A$3:$B$346,2,0))</f>
        <v/>
      </c>
      <c r="I587" s="1043" t="str">
        <f>IF(D587="","",VLOOKUP(D587,Compte!$A$3:$B$346,2,0))</f>
        <v/>
      </c>
    </row>
    <row r="588" spans="1:9">
      <c r="A588" s="1206"/>
      <c r="B588" s="606"/>
      <c r="C588" s="1046"/>
      <c r="D588" s="1048"/>
      <c r="E588" s="1068"/>
      <c r="F588" s="1044"/>
      <c r="G588" s="1077">
        <f t="shared" si="9"/>
        <v>0</v>
      </c>
      <c r="H588" s="1042" t="str">
        <f>IF(C588="","",VLOOKUP(C588,Compte!$A$3:$B$346,2,0))</f>
        <v/>
      </c>
      <c r="I588" s="1043" t="str">
        <f>IF(D588="","",VLOOKUP(D588,Compte!$A$3:$B$346,2,0))</f>
        <v/>
      </c>
    </row>
    <row r="589" spans="1:9">
      <c r="A589" s="1206"/>
      <c r="B589" s="606"/>
      <c r="C589" s="1046"/>
      <c r="D589" s="1048"/>
      <c r="E589" s="1068"/>
      <c r="F589" s="1044"/>
      <c r="G589" s="1077">
        <f t="shared" si="9"/>
        <v>0</v>
      </c>
      <c r="H589" s="1042" t="str">
        <f>IF(C589="","",VLOOKUP(C589,Compte!$A$3:$B$346,2,0))</f>
        <v/>
      </c>
      <c r="I589" s="1043" t="str">
        <f>IF(D589="","",VLOOKUP(D589,Compte!$A$3:$B$346,2,0))</f>
        <v/>
      </c>
    </row>
    <row r="590" spans="1:9">
      <c r="A590" s="1206"/>
      <c r="B590" s="606"/>
      <c r="C590" s="1046"/>
      <c r="D590" s="1048"/>
      <c r="E590" s="1068"/>
      <c r="F590" s="1044"/>
      <c r="G590" s="1077">
        <f t="shared" si="9"/>
        <v>0</v>
      </c>
      <c r="H590" s="1042" t="str">
        <f>IF(C590="","",VLOOKUP(C590,Compte!$A$3:$B$346,2,0))</f>
        <v/>
      </c>
      <c r="I590" s="1043" t="str">
        <f>IF(D590="","",VLOOKUP(D590,Compte!$A$3:$B$346,2,0))</f>
        <v/>
      </c>
    </row>
    <row r="591" spans="1:9">
      <c r="A591" s="1206"/>
      <c r="B591" s="606"/>
      <c r="C591" s="1046"/>
      <c r="D591" s="1048"/>
      <c r="E591" s="1068"/>
      <c r="F591" s="1044"/>
      <c r="G591" s="1077">
        <f t="shared" si="9"/>
        <v>0</v>
      </c>
      <c r="H591" s="1042" t="str">
        <f>IF(C591="","",VLOOKUP(C591,Compte!$A$3:$B$346,2,0))</f>
        <v/>
      </c>
      <c r="I591" s="1043" t="str">
        <f>IF(D591="","",VLOOKUP(D591,Compte!$A$3:$B$346,2,0))</f>
        <v/>
      </c>
    </row>
    <row r="592" spans="1:9">
      <c r="A592" s="1206"/>
      <c r="B592" s="606"/>
      <c r="C592" s="1046"/>
      <c r="D592" s="1048"/>
      <c r="E592" s="1068"/>
      <c r="F592" s="1044"/>
      <c r="G592" s="1077">
        <f t="shared" si="9"/>
        <v>0</v>
      </c>
      <c r="H592" s="1042" t="str">
        <f>IF(C592="","",VLOOKUP(C592,Compte!$A$3:$B$346,2,0))</f>
        <v/>
      </c>
      <c r="I592" s="1043" t="str">
        <f>IF(D592="","",VLOOKUP(D592,Compte!$A$3:$B$346,2,0))</f>
        <v/>
      </c>
    </row>
    <row r="593" spans="1:9">
      <c r="A593" s="1206"/>
      <c r="B593" s="606"/>
      <c r="C593" s="1046"/>
      <c r="D593" s="1048"/>
      <c r="E593" s="1068"/>
      <c r="F593" s="1044"/>
      <c r="G593" s="1077">
        <f t="shared" si="9"/>
        <v>0</v>
      </c>
      <c r="H593" s="1042" t="str">
        <f>IF(C593="","",VLOOKUP(C593,Compte!$A$3:$B$346,2,0))</f>
        <v/>
      </c>
      <c r="I593" s="1043" t="str">
        <f>IF(D593="","",VLOOKUP(D593,Compte!$A$3:$B$346,2,0))</f>
        <v/>
      </c>
    </row>
    <row r="594" spans="1:9">
      <c r="A594" s="1206"/>
      <c r="B594" s="606"/>
      <c r="C594" s="1046"/>
      <c r="D594" s="1048"/>
      <c r="E594" s="1068"/>
      <c r="F594" s="1044"/>
      <c r="G594" s="1077">
        <f t="shared" si="9"/>
        <v>0</v>
      </c>
      <c r="H594" s="1042" t="str">
        <f>IF(C594="","",VLOOKUP(C594,Compte!$A$3:$B$346,2,0))</f>
        <v/>
      </c>
      <c r="I594" s="1043" t="str">
        <f>IF(D594="","",VLOOKUP(D594,Compte!$A$3:$B$346,2,0))</f>
        <v/>
      </c>
    </row>
    <row r="595" spans="1:9">
      <c r="A595" s="1206"/>
      <c r="B595" s="606"/>
      <c r="C595" s="1046"/>
      <c r="D595" s="1048"/>
      <c r="E595" s="1068"/>
      <c r="F595" s="1044"/>
      <c r="G595" s="1077">
        <f t="shared" si="9"/>
        <v>0</v>
      </c>
      <c r="H595" s="1042" t="str">
        <f>IF(C595="","",VLOOKUP(C595,Compte!$A$3:$B$346,2,0))</f>
        <v/>
      </c>
      <c r="I595" s="1043" t="str">
        <f>IF(D595="","",VLOOKUP(D595,Compte!$A$3:$B$346,2,0))</f>
        <v/>
      </c>
    </row>
    <row r="596" spans="1:9">
      <c r="A596" s="1206"/>
      <c r="B596" s="606"/>
      <c r="C596" s="1046"/>
      <c r="D596" s="1048"/>
      <c r="E596" s="1068"/>
      <c r="F596" s="1044"/>
      <c r="G596" s="1077">
        <f t="shared" si="9"/>
        <v>0</v>
      </c>
      <c r="H596" s="1042" t="str">
        <f>IF(C596="","",VLOOKUP(C596,Compte!$A$3:$B$346,2,0))</f>
        <v/>
      </c>
      <c r="I596" s="1043" t="str">
        <f>IF(D596="","",VLOOKUP(D596,Compte!$A$3:$B$346,2,0))</f>
        <v/>
      </c>
    </row>
    <row r="597" spans="1:9">
      <c r="A597" s="1206"/>
      <c r="B597" s="606"/>
      <c r="C597" s="1046"/>
      <c r="D597" s="1048"/>
      <c r="E597" s="1068"/>
      <c r="F597" s="1044"/>
      <c r="G597" s="1077">
        <f t="shared" si="9"/>
        <v>0</v>
      </c>
      <c r="H597" s="1042" t="str">
        <f>IF(C597="","",VLOOKUP(C597,Compte!$A$3:$B$346,2,0))</f>
        <v/>
      </c>
      <c r="I597" s="1043" t="str">
        <f>IF(D597="","",VLOOKUP(D597,Compte!$A$3:$B$346,2,0))</f>
        <v/>
      </c>
    </row>
    <row r="598" spans="1:9">
      <c r="A598" s="1206"/>
      <c r="B598" s="606"/>
      <c r="C598" s="1046"/>
      <c r="D598" s="1048"/>
      <c r="E598" s="1068"/>
      <c r="F598" s="1044"/>
      <c r="G598" s="1077">
        <f t="shared" si="9"/>
        <v>0</v>
      </c>
      <c r="H598" s="1042" t="str">
        <f>IF(C598="","",VLOOKUP(C598,Compte!$A$3:$B$346,2,0))</f>
        <v/>
      </c>
      <c r="I598" s="1043" t="str">
        <f>IF(D598="","",VLOOKUP(D598,Compte!$A$3:$B$346,2,0))</f>
        <v/>
      </c>
    </row>
    <row r="599" spans="1:9">
      <c r="A599" s="1206"/>
      <c r="B599" s="606"/>
      <c r="C599" s="1046"/>
      <c r="D599" s="1048"/>
      <c r="E599" s="1068"/>
      <c r="F599" s="1044"/>
      <c r="G599" s="1077">
        <f t="shared" si="9"/>
        <v>0</v>
      </c>
      <c r="H599" s="1042" t="str">
        <f>IF(C599="","",VLOOKUP(C599,Compte!$A$3:$B$346,2,0))</f>
        <v/>
      </c>
      <c r="I599" s="1043" t="str">
        <f>IF(D599="","",VLOOKUP(D599,Compte!$A$3:$B$346,2,0))</f>
        <v/>
      </c>
    </row>
    <row r="600" spans="1:9">
      <c r="A600" s="1206"/>
      <c r="B600" s="606"/>
      <c r="C600" s="1046"/>
      <c r="D600" s="1048"/>
      <c r="E600" s="1068"/>
      <c r="F600" s="1044"/>
      <c r="G600" s="1077">
        <f t="shared" si="9"/>
        <v>0</v>
      </c>
      <c r="H600" s="1042" t="str">
        <f>IF(C600="","",VLOOKUP(C600,Compte!$A$3:$B$346,2,0))</f>
        <v/>
      </c>
      <c r="I600" s="1043" t="str">
        <f>IF(D600="","",VLOOKUP(D600,Compte!$A$3:$B$346,2,0))</f>
        <v/>
      </c>
    </row>
    <row r="601" spans="1:9">
      <c r="A601" s="1206"/>
      <c r="B601" s="606"/>
      <c r="C601" s="1046"/>
      <c r="D601" s="1048"/>
      <c r="E601" s="1068"/>
      <c r="F601" s="1044"/>
      <c r="G601" s="1077">
        <f t="shared" si="9"/>
        <v>0</v>
      </c>
      <c r="H601" s="1042" t="str">
        <f>IF(C601="","",VLOOKUP(C601,Compte!$A$3:$B$346,2,0))</f>
        <v/>
      </c>
      <c r="I601" s="1043" t="str">
        <f>IF(D601="","",VLOOKUP(D601,Compte!$A$3:$B$346,2,0))</f>
        <v/>
      </c>
    </row>
    <row r="602" spans="1:9">
      <c r="A602" s="1206"/>
      <c r="B602" s="606"/>
      <c r="C602" s="1046"/>
      <c r="D602" s="1048"/>
      <c r="E602" s="1068"/>
      <c r="F602" s="1044"/>
      <c r="G602" s="1077">
        <f t="shared" si="9"/>
        <v>0</v>
      </c>
      <c r="H602" s="1042" t="str">
        <f>IF(C602="","",VLOOKUP(C602,Compte!$A$3:$B$346,2,0))</f>
        <v/>
      </c>
      <c r="I602" s="1043" t="str">
        <f>IF(D602="","",VLOOKUP(D602,Compte!$A$3:$B$346,2,0))</f>
        <v/>
      </c>
    </row>
    <row r="603" spans="1:9">
      <c r="A603" s="1206"/>
      <c r="B603" s="606"/>
      <c r="C603" s="1046"/>
      <c r="D603" s="1048"/>
      <c r="E603" s="1068"/>
      <c r="F603" s="1044"/>
      <c r="G603" s="1077">
        <f t="shared" si="9"/>
        <v>0</v>
      </c>
      <c r="H603" s="1042" t="str">
        <f>IF(C603="","",VLOOKUP(C603,Compte!$A$3:$B$346,2,0))</f>
        <v/>
      </c>
      <c r="I603" s="1043" t="str">
        <f>IF(D603="","",VLOOKUP(D603,Compte!$A$3:$B$346,2,0))</f>
        <v/>
      </c>
    </row>
    <row r="604" spans="1:9">
      <c r="A604" s="1206"/>
      <c r="B604" s="606"/>
      <c r="C604" s="1046"/>
      <c r="D604" s="1048"/>
      <c r="E604" s="1068"/>
      <c r="F604" s="1044"/>
      <c r="G604" s="1077">
        <f t="shared" si="9"/>
        <v>0</v>
      </c>
      <c r="H604" s="1042" t="str">
        <f>IF(C604="","",VLOOKUP(C604,Compte!$A$3:$B$346,2,0))</f>
        <v/>
      </c>
      <c r="I604" s="1043" t="str">
        <f>IF(D604="","",VLOOKUP(D604,Compte!$A$3:$B$346,2,0))</f>
        <v/>
      </c>
    </row>
    <row r="605" spans="1:9">
      <c r="A605" s="1206"/>
      <c r="B605" s="606"/>
      <c r="C605" s="1046"/>
      <c r="D605" s="1048"/>
      <c r="E605" s="1068"/>
      <c r="F605" s="1044"/>
      <c r="G605" s="1077">
        <f t="shared" si="9"/>
        <v>0</v>
      </c>
      <c r="H605" s="1042" t="str">
        <f>IF(C605="","",VLOOKUP(C605,Compte!$A$3:$B$346,2,0))</f>
        <v/>
      </c>
      <c r="I605" s="1043" t="str">
        <f>IF(D605="","",VLOOKUP(D605,Compte!$A$3:$B$346,2,0))</f>
        <v/>
      </c>
    </row>
    <row r="606" spans="1:9">
      <c r="A606" s="1206"/>
      <c r="B606" s="606"/>
      <c r="C606" s="1046"/>
      <c r="D606" s="1048"/>
      <c r="E606" s="1068"/>
      <c r="F606" s="1044"/>
      <c r="G606" s="1077">
        <f t="shared" si="9"/>
        <v>0</v>
      </c>
      <c r="H606" s="1042" t="str">
        <f>IF(C606="","",VLOOKUP(C606,Compte!$A$3:$B$346,2,0))</f>
        <v/>
      </c>
      <c r="I606" s="1043" t="str">
        <f>IF(D606="","",VLOOKUP(D606,Compte!$A$3:$B$346,2,0))</f>
        <v/>
      </c>
    </row>
    <row r="607" spans="1:9">
      <c r="A607" s="1206"/>
      <c r="B607" s="606"/>
      <c r="C607" s="1046"/>
      <c r="D607" s="1048"/>
      <c r="E607" s="1068"/>
      <c r="F607" s="1044"/>
      <c r="G607" s="1077">
        <f t="shared" si="9"/>
        <v>0</v>
      </c>
      <c r="H607" s="1042" t="str">
        <f>IF(C607="","",VLOOKUP(C607,Compte!$A$3:$B$346,2,0))</f>
        <v/>
      </c>
      <c r="I607" s="1043" t="str">
        <f>IF(D607="","",VLOOKUP(D607,Compte!$A$3:$B$346,2,0))</f>
        <v/>
      </c>
    </row>
    <row r="608" spans="1:9">
      <c r="A608" s="1206"/>
      <c r="B608" s="606"/>
      <c r="C608" s="1046"/>
      <c r="D608" s="1048"/>
      <c r="E608" s="1068"/>
      <c r="F608" s="1044"/>
      <c r="G608" s="1077">
        <f t="shared" si="9"/>
        <v>0</v>
      </c>
      <c r="H608" s="1042" t="str">
        <f>IF(C608="","",VLOOKUP(C608,Compte!$A$3:$B$346,2,0))</f>
        <v/>
      </c>
      <c r="I608" s="1043" t="str">
        <f>IF(D608="","",VLOOKUP(D608,Compte!$A$3:$B$346,2,0))</f>
        <v/>
      </c>
    </row>
    <row r="609" spans="1:9">
      <c r="A609" s="1206"/>
      <c r="B609" s="606"/>
      <c r="C609" s="1046"/>
      <c r="D609" s="1048"/>
      <c r="E609" s="1068"/>
      <c r="F609" s="1044"/>
      <c r="G609" s="1077">
        <f t="shared" si="9"/>
        <v>0</v>
      </c>
      <c r="H609" s="1042" t="str">
        <f>IF(C609="","",VLOOKUP(C609,Compte!$A$3:$B$346,2,0))</f>
        <v/>
      </c>
      <c r="I609" s="1043" t="str">
        <f>IF(D609="","",VLOOKUP(D609,Compte!$A$3:$B$346,2,0))</f>
        <v/>
      </c>
    </row>
    <row r="610" spans="1:9">
      <c r="A610" s="1206"/>
      <c r="B610" s="606"/>
      <c r="C610" s="1046"/>
      <c r="D610" s="1048"/>
      <c r="E610" s="1068"/>
      <c r="F610" s="1044"/>
      <c r="G610" s="1077">
        <f t="shared" si="9"/>
        <v>0</v>
      </c>
      <c r="H610" s="1042" t="str">
        <f>IF(C610="","",VLOOKUP(C610,Compte!$A$3:$B$346,2,0))</f>
        <v/>
      </c>
      <c r="I610" s="1043" t="str">
        <f>IF(D610="","",VLOOKUP(D610,Compte!$A$3:$B$346,2,0))</f>
        <v/>
      </c>
    </row>
    <row r="611" spans="1:9">
      <c r="A611" s="1206"/>
      <c r="B611" s="606"/>
      <c r="C611" s="1046"/>
      <c r="D611" s="1048"/>
      <c r="E611" s="1068"/>
      <c r="F611" s="1044"/>
      <c r="G611" s="1077">
        <f t="shared" si="9"/>
        <v>0</v>
      </c>
      <c r="H611" s="1042" t="str">
        <f>IF(C611="","",VLOOKUP(C611,Compte!$A$3:$B$346,2,0))</f>
        <v/>
      </c>
      <c r="I611" s="1043" t="str">
        <f>IF(D611="","",VLOOKUP(D611,Compte!$A$3:$B$346,2,0))</f>
        <v/>
      </c>
    </row>
    <row r="612" spans="1:9">
      <c r="A612" s="1206"/>
      <c r="B612" s="606"/>
      <c r="C612" s="1046"/>
      <c r="D612" s="1048"/>
      <c r="E612" s="1068"/>
      <c r="F612" s="1044"/>
      <c r="G612" s="1077">
        <f t="shared" si="9"/>
        <v>0</v>
      </c>
      <c r="H612" s="1042" t="str">
        <f>IF(C612="","",VLOOKUP(C612,Compte!$A$3:$B$346,2,0))</f>
        <v/>
      </c>
      <c r="I612" s="1043" t="str">
        <f>IF(D612="","",VLOOKUP(D612,Compte!$A$3:$B$346,2,0))</f>
        <v/>
      </c>
    </row>
    <row r="613" spans="1:9">
      <c r="A613" s="1206"/>
      <c r="B613" s="606"/>
      <c r="C613" s="1046"/>
      <c r="D613" s="1048"/>
      <c r="E613" s="1068"/>
      <c r="F613" s="1044"/>
      <c r="G613" s="1077">
        <f t="shared" si="9"/>
        <v>0</v>
      </c>
      <c r="H613" s="1042" t="str">
        <f>IF(C613="","",VLOOKUP(C613,Compte!$A$3:$B$346,2,0))</f>
        <v/>
      </c>
      <c r="I613" s="1043" t="str">
        <f>IF(D613="","",VLOOKUP(D613,Compte!$A$3:$B$346,2,0))</f>
        <v/>
      </c>
    </row>
    <row r="614" spans="1:9">
      <c r="A614" s="1206"/>
      <c r="B614" s="606"/>
      <c r="C614" s="1046"/>
      <c r="D614" s="1048"/>
      <c r="E614" s="1068"/>
      <c r="F614" s="1044"/>
      <c r="G614" s="1077">
        <f t="shared" si="9"/>
        <v>0</v>
      </c>
      <c r="H614" s="1042" t="str">
        <f>IF(C614="","",VLOOKUP(C614,Compte!$A$3:$B$346,2,0))</f>
        <v/>
      </c>
      <c r="I614" s="1043" t="str">
        <f>IF(D614="","",VLOOKUP(D614,Compte!$A$3:$B$346,2,0))</f>
        <v/>
      </c>
    </row>
    <row r="615" spans="1:9">
      <c r="A615" s="1206"/>
      <c r="B615" s="606"/>
      <c r="C615" s="1046"/>
      <c r="D615" s="1048"/>
      <c r="E615" s="1068"/>
      <c r="F615" s="1044"/>
      <c r="G615" s="1077">
        <f t="shared" si="9"/>
        <v>0</v>
      </c>
      <c r="H615" s="1042" t="str">
        <f>IF(C615="","",VLOOKUP(C615,Compte!$A$3:$B$346,2,0))</f>
        <v/>
      </c>
      <c r="I615" s="1043" t="str">
        <f>IF(D615="","",VLOOKUP(D615,Compte!$A$3:$B$346,2,0))</f>
        <v/>
      </c>
    </row>
    <row r="616" spans="1:9">
      <c r="A616" s="1206"/>
      <c r="B616" s="606"/>
      <c r="C616" s="1046"/>
      <c r="D616" s="1048"/>
      <c r="E616" s="1068"/>
      <c r="F616" s="1044"/>
      <c r="G616" s="1077">
        <f t="shared" si="9"/>
        <v>0</v>
      </c>
      <c r="H616" s="1042" t="str">
        <f>IF(C616="","",VLOOKUP(C616,Compte!$A$3:$B$346,2,0))</f>
        <v/>
      </c>
      <c r="I616" s="1043" t="str">
        <f>IF(D616="","",VLOOKUP(D616,Compte!$A$3:$B$346,2,0))</f>
        <v/>
      </c>
    </row>
    <row r="617" spans="1:9">
      <c r="A617" s="1206"/>
      <c r="B617" s="606"/>
      <c r="C617" s="1046"/>
      <c r="D617" s="1048"/>
      <c r="E617" s="1068"/>
      <c r="F617" s="1044"/>
      <c r="G617" s="1077">
        <f t="shared" si="9"/>
        <v>0</v>
      </c>
      <c r="H617" s="1042" t="str">
        <f>IF(C617="","",VLOOKUP(C617,Compte!$A$3:$B$346,2,0))</f>
        <v/>
      </c>
      <c r="I617" s="1043" t="str">
        <f>IF(D617="","",VLOOKUP(D617,Compte!$A$3:$B$346,2,0))</f>
        <v/>
      </c>
    </row>
    <row r="618" spans="1:9">
      <c r="A618" s="1206"/>
      <c r="B618" s="606"/>
      <c r="C618" s="1046"/>
      <c r="D618" s="1048"/>
      <c r="E618" s="1068"/>
      <c r="F618" s="1044"/>
      <c r="G618" s="1077">
        <f t="shared" si="9"/>
        <v>0</v>
      </c>
      <c r="H618" s="1042" t="str">
        <f>IF(C618="","",VLOOKUP(C618,Compte!$A$3:$B$346,2,0))</f>
        <v/>
      </c>
      <c r="I618" s="1043" t="str">
        <f>IF(D618="","",VLOOKUP(D618,Compte!$A$3:$B$346,2,0))</f>
        <v/>
      </c>
    </row>
    <row r="619" spans="1:9">
      <c r="A619" s="1206"/>
      <c r="B619" s="606"/>
      <c r="C619" s="1046"/>
      <c r="D619" s="1048"/>
      <c r="E619" s="1068"/>
      <c r="F619" s="1044"/>
      <c r="G619" s="1077">
        <f t="shared" si="9"/>
        <v>0</v>
      </c>
      <c r="H619" s="1042" t="str">
        <f>IF(C619="","",VLOOKUP(C619,Compte!$A$3:$B$346,2,0))</f>
        <v/>
      </c>
      <c r="I619" s="1043" t="str">
        <f>IF(D619="","",VLOOKUP(D619,Compte!$A$3:$B$346,2,0))</f>
        <v/>
      </c>
    </row>
    <row r="620" spans="1:9">
      <c r="A620" s="1206"/>
      <c r="B620" s="606"/>
      <c r="C620" s="1046"/>
      <c r="D620" s="1048"/>
      <c r="E620" s="1068"/>
      <c r="F620" s="1044"/>
      <c r="G620" s="1077">
        <f t="shared" si="9"/>
        <v>0</v>
      </c>
      <c r="H620" s="1042" t="str">
        <f>IF(C620="","",VLOOKUP(C620,Compte!$A$3:$B$346,2,0))</f>
        <v/>
      </c>
      <c r="I620" s="1043" t="str">
        <f>IF(D620="","",VLOOKUP(D620,Compte!$A$3:$B$346,2,0))</f>
        <v/>
      </c>
    </row>
    <row r="621" spans="1:9">
      <c r="A621" s="1206"/>
      <c r="B621" s="606"/>
      <c r="C621" s="1046"/>
      <c r="D621" s="1048"/>
      <c r="E621" s="1068"/>
      <c r="F621" s="1044"/>
      <c r="G621" s="1077">
        <f t="shared" si="9"/>
        <v>0</v>
      </c>
      <c r="H621" s="1042" t="str">
        <f>IF(C621="","",VLOOKUP(C621,Compte!$A$3:$B$346,2,0))</f>
        <v/>
      </c>
      <c r="I621" s="1043" t="str">
        <f>IF(D621="","",VLOOKUP(D621,Compte!$A$3:$B$346,2,0))</f>
        <v/>
      </c>
    </row>
    <row r="622" spans="1:9">
      <c r="A622" s="1206"/>
      <c r="B622" s="606"/>
      <c r="C622" s="1046"/>
      <c r="D622" s="1048"/>
      <c r="E622" s="1068"/>
      <c r="F622" s="1044"/>
      <c r="G622" s="1077">
        <f t="shared" si="9"/>
        <v>0</v>
      </c>
      <c r="H622" s="1042" t="str">
        <f>IF(C622="","",VLOOKUP(C622,Compte!$A$3:$B$346,2,0))</f>
        <v/>
      </c>
      <c r="I622" s="1043" t="str">
        <f>IF(D622="","",VLOOKUP(D622,Compte!$A$3:$B$346,2,0))</f>
        <v/>
      </c>
    </row>
    <row r="623" spans="1:9">
      <c r="A623" s="1206"/>
      <c r="B623" s="606"/>
      <c r="C623" s="1046"/>
      <c r="D623" s="1048"/>
      <c r="E623" s="1068"/>
      <c r="F623" s="1044"/>
      <c r="G623" s="1077">
        <f t="shared" si="9"/>
        <v>0</v>
      </c>
      <c r="H623" s="1042" t="str">
        <f>IF(C623="","",VLOOKUP(C623,Compte!$A$3:$B$346,2,0))</f>
        <v/>
      </c>
      <c r="I623" s="1043" t="str">
        <f>IF(D623="","",VLOOKUP(D623,Compte!$A$3:$B$346,2,0))</f>
        <v/>
      </c>
    </row>
    <row r="624" spans="1:9">
      <c r="A624" s="1206"/>
      <c r="B624" s="606"/>
      <c r="C624" s="1046"/>
      <c r="D624" s="1048"/>
      <c r="E624" s="1068"/>
      <c r="F624" s="1044"/>
      <c r="G624" s="1077">
        <f t="shared" si="9"/>
        <v>0</v>
      </c>
      <c r="H624" s="1042" t="str">
        <f>IF(C624="","",VLOOKUP(C624,Compte!$A$3:$B$346,2,0))</f>
        <v/>
      </c>
      <c r="I624" s="1043" t="str">
        <f>IF(D624="","",VLOOKUP(D624,Compte!$A$3:$B$346,2,0))</f>
        <v/>
      </c>
    </row>
    <row r="625" spans="1:9">
      <c r="A625" s="1206"/>
      <c r="B625" s="606"/>
      <c r="C625" s="1046"/>
      <c r="D625" s="1048"/>
      <c r="E625" s="1068"/>
      <c r="F625" s="1044"/>
      <c r="G625" s="1077">
        <f t="shared" si="9"/>
        <v>0</v>
      </c>
      <c r="H625" s="1042" t="str">
        <f>IF(C625="","",VLOOKUP(C625,Compte!$A$3:$B$346,2,0))</f>
        <v/>
      </c>
      <c r="I625" s="1043" t="str">
        <f>IF(D625="","",VLOOKUP(D625,Compte!$A$3:$B$346,2,0))</f>
        <v/>
      </c>
    </row>
    <row r="626" spans="1:9">
      <c r="A626" s="1206"/>
      <c r="B626" s="606"/>
      <c r="C626" s="1046"/>
      <c r="D626" s="1048"/>
      <c r="E626" s="1068"/>
      <c r="F626" s="1044"/>
      <c r="G626" s="1077">
        <f t="shared" si="9"/>
        <v>0</v>
      </c>
      <c r="H626" s="1042" t="str">
        <f>IF(C626="","",VLOOKUP(C626,Compte!$A$3:$B$346,2,0))</f>
        <v/>
      </c>
      <c r="I626" s="1043" t="str">
        <f>IF(D626="","",VLOOKUP(D626,Compte!$A$3:$B$346,2,0))</f>
        <v/>
      </c>
    </row>
    <row r="627" spans="1:9">
      <c r="A627" s="1206"/>
      <c r="B627" s="606"/>
      <c r="C627" s="1046"/>
      <c r="D627" s="1048"/>
      <c r="E627" s="1068"/>
      <c r="F627" s="1044"/>
      <c r="G627" s="1077">
        <f t="shared" si="9"/>
        <v>0</v>
      </c>
      <c r="H627" s="1042" t="str">
        <f>IF(C627="","",VLOOKUP(C627,Compte!$A$3:$B$346,2,0))</f>
        <v/>
      </c>
      <c r="I627" s="1043" t="str">
        <f>IF(D627="","",VLOOKUP(D627,Compte!$A$3:$B$346,2,0))</f>
        <v/>
      </c>
    </row>
    <row r="628" spans="1:9">
      <c r="A628" s="1206"/>
      <c r="B628" s="606"/>
      <c r="C628" s="1046"/>
      <c r="D628" s="1048"/>
      <c r="E628" s="1068"/>
      <c r="F628" s="1044"/>
      <c r="G628" s="1077">
        <f t="shared" si="9"/>
        <v>0</v>
      </c>
      <c r="H628" s="1042" t="str">
        <f>IF(C628="","",VLOOKUP(C628,Compte!$A$3:$B$346,2,0))</f>
        <v/>
      </c>
      <c r="I628" s="1043" t="str">
        <f>IF(D628="","",VLOOKUP(D628,Compte!$A$3:$B$346,2,0))</f>
        <v/>
      </c>
    </row>
    <row r="629" spans="1:9">
      <c r="A629" s="1206"/>
      <c r="B629" s="606"/>
      <c r="C629" s="1046"/>
      <c r="D629" s="1048"/>
      <c r="E629" s="1068"/>
      <c r="F629" s="1044"/>
      <c r="G629" s="1077">
        <f t="shared" si="9"/>
        <v>0</v>
      </c>
      <c r="H629" s="1042" t="str">
        <f>IF(C629="","",VLOOKUP(C629,Compte!$A$3:$B$346,2,0))</f>
        <v/>
      </c>
      <c r="I629" s="1043" t="str">
        <f>IF(D629="","",VLOOKUP(D629,Compte!$A$3:$B$346,2,0))</f>
        <v/>
      </c>
    </row>
    <row r="630" spans="1:9">
      <c r="A630" s="1206"/>
      <c r="B630" s="606"/>
      <c r="C630" s="1046"/>
      <c r="D630" s="1048"/>
      <c r="E630" s="1068"/>
      <c r="F630" s="1044"/>
      <c r="G630" s="1077">
        <f t="shared" si="9"/>
        <v>0</v>
      </c>
      <c r="H630" s="1042" t="str">
        <f>IF(C630="","",VLOOKUP(C630,Compte!$A$3:$B$346,2,0))</f>
        <v/>
      </c>
      <c r="I630" s="1043" t="str">
        <f>IF(D630="","",VLOOKUP(D630,Compte!$A$3:$B$346,2,0))</f>
        <v/>
      </c>
    </row>
    <row r="631" spans="1:9">
      <c r="A631" s="1206"/>
      <c r="B631" s="606"/>
      <c r="C631" s="1046"/>
      <c r="D631" s="1048"/>
      <c r="E631" s="1068"/>
      <c r="F631" s="1044"/>
      <c r="G631" s="1077">
        <f t="shared" si="9"/>
        <v>0</v>
      </c>
      <c r="H631" s="1042" t="str">
        <f>IF(C631="","",VLOOKUP(C631,Compte!$A$3:$B$346,2,0))</f>
        <v/>
      </c>
      <c r="I631" s="1043" t="str">
        <f>IF(D631="","",VLOOKUP(D631,Compte!$A$3:$B$346,2,0))</f>
        <v/>
      </c>
    </row>
    <row r="632" spans="1:9">
      <c r="A632" s="1206"/>
      <c r="B632" s="606"/>
      <c r="C632" s="1046"/>
      <c r="D632" s="1048"/>
      <c r="E632" s="1068"/>
      <c r="F632" s="1044"/>
      <c r="G632" s="1077">
        <f t="shared" si="9"/>
        <v>0</v>
      </c>
      <c r="H632" s="1042" t="str">
        <f>IF(C632="","",VLOOKUP(C632,Compte!$A$3:$B$346,2,0))</f>
        <v/>
      </c>
      <c r="I632" s="1043" t="str">
        <f>IF(D632="","",VLOOKUP(D632,Compte!$A$3:$B$346,2,0))</f>
        <v/>
      </c>
    </row>
    <row r="633" spans="1:9">
      <c r="A633" s="1206"/>
      <c r="B633" s="606"/>
      <c r="C633" s="1046"/>
      <c r="D633" s="1048"/>
      <c r="E633" s="1068"/>
      <c r="F633" s="1044"/>
      <c r="G633" s="1077">
        <f t="shared" si="9"/>
        <v>0</v>
      </c>
      <c r="H633" s="1042" t="str">
        <f>IF(C633="","",VLOOKUP(C633,Compte!$A$3:$B$346,2,0))</f>
        <v/>
      </c>
      <c r="I633" s="1043" t="str">
        <f>IF(D633="","",VLOOKUP(D633,Compte!$A$3:$B$346,2,0))</f>
        <v/>
      </c>
    </row>
    <row r="634" spans="1:9">
      <c r="A634" s="1206"/>
      <c r="B634" s="606"/>
      <c r="C634" s="1046"/>
      <c r="D634" s="1048"/>
      <c r="E634" s="1068"/>
      <c r="F634" s="1044"/>
      <c r="G634" s="1077">
        <f t="shared" si="9"/>
        <v>0</v>
      </c>
      <c r="H634" s="1042" t="str">
        <f>IF(C634="","",VLOOKUP(C634,Compte!$A$3:$B$346,2,0))</f>
        <v/>
      </c>
      <c r="I634" s="1043" t="str">
        <f>IF(D634="","",VLOOKUP(D634,Compte!$A$3:$B$346,2,0))</f>
        <v/>
      </c>
    </row>
    <row r="635" spans="1:9">
      <c r="A635" s="1206"/>
      <c r="B635" s="606"/>
      <c r="C635" s="1046"/>
      <c r="D635" s="1048"/>
      <c r="E635" s="1068"/>
      <c r="F635" s="1044"/>
      <c r="G635" s="1077">
        <f t="shared" si="9"/>
        <v>0</v>
      </c>
      <c r="H635" s="1042" t="str">
        <f>IF(C635="","",VLOOKUP(C635,Compte!$A$3:$B$346,2,0))</f>
        <v/>
      </c>
      <c r="I635" s="1043" t="str">
        <f>IF(D635="","",VLOOKUP(D635,Compte!$A$3:$B$346,2,0))</f>
        <v/>
      </c>
    </row>
    <row r="636" spans="1:9">
      <c r="A636" s="1206"/>
      <c r="B636" s="606"/>
      <c r="C636" s="1046"/>
      <c r="D636" s="1048"/>
      <c r="E636" s="1068"/>
      <c r="F636" s="1044"/>
      <c r="G636" s="1077">
        <f t="shared" si="9"/>
        <v>0</v>
      </c>
      <c r="H636" s="1042" t="str">
        <f>IF(C636="","",VLOOKUP(C636,Compte!$A$3:$B$346,2,0))</f>
        <v/>
      </c>
      <c r="I636" s="1043" t="str">
        <f>IF(D636="","",VLOOKUP(D636,Compte!$A$3:$B$346,2,0))</f>
        <v/>
      </c>
    </row>
    <row r="637" spans="1:9">
      <c r="A637" s="1206"/>
      <c r="B637" s="606"/>
      <c r="C637" s="1046"/>
      <c r="D637" s="1048"/>
      <c r="E637" s="1068"/>
      <c r="F637" s="1044"/>
      <c r="G637" s="1077">
        <f t="shared" si="9"/>
        <v>0</v>
      </c>
      <c r="H637" s="1042" t="str">
        <f>IF(C637="","",VLOOKUP(C637,Compte!$A$3:$B$346,2,0))</f>
        <v/>
      </c>
      <c r="I637" s="1043" t="str">
        <f>IF(D637="","",VLOOKUP(D637,Compte!$A$3:$B$346,2,0))</f>
        <v/>
      </c>
    </row>
    <row r="638" spans="1:9">
      <c r="A638" s="1206"/>
      <c r="B638" s="606"/>
      <c r="C638" s="1046"/>
      <c r="D638" s="1048"/>
      <c r="E638" s="1068"/>
      <c r="F638" s="1044"/>
      <c r="G638" s="1077">
        <f t="shared" si="9"/>
        <v>0</v>
      </c>
      <c r="H638" s="1042" t="str">
        <f>IF(C638="","",VLOOKUP(C638,Compte!$A$3:$B$346,2,0))</f>
        <v/>
      </c>
      <c r="I638" s="1043" t="str">
        <f>IF(D638="","",VLOOKUP(D638,Compte!$A$3:$B$346,2,0))</f>
        <v/>
      </c>
    </row>
    <row r="639" spans="1:9">
      <c r="A639" s="1206"/>
      <c r="B639" s="606"/>
      <c r="C639" s="1046"/>
      <c r="D639" s="1048"/>
      <c r="E639" s="1068"/>
      <c r="F639" s="1044"/>
      <c r="G639" s="1077">
        <f t="shared" si="9"/>
        <v>0</v>
      </c>
      <c r="H639" s="1042" t="str">
        <f>IF(C639="","",VLOOKUP(C639,Compte!$A$3:$B$346,2,0))</f>
        <v/>
      </c>
      <c r="I639" s="1043" t="str">
        <f>IF(D639="","",VLOOKUP(D639,Compte!$A$3:$B$346,2,0))</f>
        <v/>
      </c>
    </row>
    <row r="640" spans="1:9">
      <c r="A640" s="1206"/>
      <c r="B640" s="606"/>
      <c r="C640" s="1046"/>
      <c r="D640" s="1048"/>
      <c r="E640" s="1068"/>
      <c r="F640" s="1044"/>
      <c r="G640" s="1077">
        <f t="shared" si="9"/>
        <v>0</v>
      </c>
      <c r="H640" s="1042" t="str">
        <f>IF(C640="","",VLOOKUP(C640,Compte!$A$3:$B$346,2,0))</f>
        <v/>
      </c>
      <c r="I640" s="1043" t="str">
        <f>IF(D640="","",VLOOKUP(D640,Compte!$A$3:$B$346,2,0))</f>
        <v/>
      </c>
    </row>
    <row r="641" spans="1:9">
      <c r="A641" s="1206"/>
      <c r="B641" s="606"/>
      <c r="C641" s="1046"/>
      <c r="D641" s="1048"/>
      <c r="E641" s="1068"/>
      <c r="F641" s="1044"/>
      <c r="G641" s="1077">
        <f t="shared" si="9"/>
        <v>0</v>
      </c>
      <c r="H641" s="1042" t="str">
        <f>IF(C641="","",VLOOKUP(C641,Compte!$A$3:$B$346,2,0))</f>
        <v/>
      </c>
      <c r="I641" s="1043" t="str">
        <f>IF(D641="","",VLOOKUP(D641,Compte!$A$3:$B$346,2,0))</f>
        <v/>
      </c>
    </row>
    <row r="642" spans="1:9">
      <c r="A642" s="1206"/>
      <c r="B642" s="606"/>
      <c r="C642" s="1046"/>
      <c r="D642" s="1048"/>
      <c r="E642" s="1068"/>
      <c r="F642" s="1044"/>
      <c r="G642" s="1077">
        <f t="shared" si="9"/>
        <v>0</v>
      </c>
      <c r="H642" s="1042" t="str">
        <f>IF(C642="","",VLOOKUP(C642,Compte!$A$3:$B$346,2,0))</f>
        <v/>
      </c>
      <c r="I642" s="1043" t="str">
        <f>IF(D642="","",VLOOKUP(D642,Compte!$A$3:$B$346,2,0))</f>
        <v/>
      </c>
    </row>
    <row r="643" spans="1:9">
      <c r="A643" s="1206"/>
      <c r="B643" s="606"/>
      <c r="C643" s="1046"/>
      <c r="D643" s="1048"/>
      <c r="E643" s="1068"/>
      <c r="F643" s="1044"/>
      <c r="G643" s="1077">
        <f t="shared" si="9"/>
        <v>0</v>
      </c>
      <c r="H643" s="1042" t="str">
        <f>IF(C643="","",VLOOKUP(C643,Compte!$A$3:$B$346,2,0))</f>
        <v/>
      </c>
      <c r="I643" s="1043" t="str">
        <f>IF(D643="","",VLOOKUP(D643,Compte!$A$3:$B$346,2,0))</f>
        <v/>
      </c>
    </row>
    <row r="644" spans="1:9">
      <c r="A644" s="1206"/>
      <c r="B644" s="606"/>
      <c r="C644" s="1046"/>
      <c r="D644" s="1048"/>
      <c r="E644" s="1068"/>
      <c r="F644" s="1044"/>
      <c r="G644" s="1077">
        <f t="shared" si="9"/>
        <v>0</v>
      </c>
      <c r="H644" s="1042" t="str">
        <f>IF(C644="","",VLOOKUP(C644,Compte!$A$3:$B$346,2,0))</f>
        <v/>
      </c>
      <c r="I644" s="1043" t="str">
        <f>IF(D644="","",VLOOKUP(D644,Compte!$A$3:$B$346,2,0))</f>
        <v/>
      </c>
    </row>
    <row r="645" spans="1:9">
      <c r="A645" s="1206"/>
      <c r="B645" s="606"/>
      <c r="C645" s="1046"/>
      <c r="D645" s="1048"/>
      <c r="E645" s="1068"/>
      <c r="F645" s="1044"/>
      <c r="G645" s="1077">
        <f t="shared" si="9"/>
        <v>0</v>
      </c>
      <c r="H645" s="1042" t="str">
        <f>IF(C645="","",VLOOKUP(C645,Compte!$A$3:$B$346,2,0))</f>
        <v/>
      </c>
      <c r="I645" s="1043" t="str">
        <f>IF(D645="","",VLOOKUP(D645,Compte!$A$3:$B$346,2,0))</f>
        <v/>
      </c>
    </row>
    <row r="646" spans="1:9">
      <c r="A646" s="1206"/>
      <c r="B646" s="606"/>
      <c r="C646" s="1046"/>
      <c r="D646" s="1048"/>
      <c r="E646" s="1068"/>
      <c r="F646" s="1044"/>
      <c r="G646" s="1077">
        <f t="shared" si="9"/>
        <v>0</v>
      </c>
      <c r="H646" s="1042" t="str">
        <f>IF(C646="","",VLOOKUP(C646,Compte!$A$3:$B$346,2,0))</f>
        <v/>
      </c>
      <c r="I646" s="1043" t="str">
        <f>IF(D646="","",VLOOKUP(D646,Compte!$A$3:$B$346,2,0))</f>
        <v/>
      </c>
    </row>
    <row r="647" spans="1:9">
      <c r="A647" s="1206"/>
      <c r="B647" s="606"/>
      <c r="C647" s="1046"/>
      <c r="D647" s="1048"/>
      <c r="E647" s="1068"/>
      <c r="F647" s="1044"/>
      <c r="G647" s="1077">
        <f t="shared" si="9"/>
        <v>0</v>
      </c>
      <c r="H647" s="1042" t="str">
        <f>IF(C647="","",VLOOKUP(C647,Compte!$A$3:$B$346,2,0))</f>
        <v/>
      </c>
      <c r="I647" s="1043" t="str">
        <f>IF(D647="","",VLOOKUP(D647,Compte!$A$3:$B$346,2,0))</f>
        <v/>
      </c>
    </row>
    <row r="648" spans="1:9">
      <c r="A648" s="1206"/>
      <c r="B648" s="606"/>
      <c r="C648" s="1046"/>
      <c r="D648" s="1048"/>
      <c r="E648" s="1068"/>
      <c r="F648" s="1044"/>
      <c r="G648" s="1077">
        <f t="shared" ref="G648:G711" si="10">IF(C648="",F648,E648)</f>
        <v>0</v>
      </c>
      <c r="H648" s="1042" t="str">
        <f>IF(C648="","",VLOOKUP(C648,Compte!$A$3:$B$346,2,0))</f>
        <v/>
      </c>
      <c r="I648" s="1043" t="str">
        <f>IF(D648="","",VLOOKUP(D648,Compte!$A$3:$B$346,2,0))</f>
        <v/>
      </c>
    </row>
    <row r="649" spans="1:9">
      <c r="A649" s="1206"/>
      <c r="B649" s="606"/>
      <c r="C649" s="1046"/>
      <c r="D649" s="1048"/>
      <c r="E649" s="1068"/>
      <c r="F649" s="1044"/>
      <c r="G649" s="1077">
        <f t="shared" si="10"/>
        <v>0</v>
      </c>
      <c r="H649" s="1042" t="str">
        <f>IF(C649="","",VLOOKUP(C649,Compte!$A$3:$B$346,2,0))</f>
        <v/>
      </c>
      <c r="I649" s="1043" t="str">
        <f>IF(D649="","",VLOOKUP(D649,Compte!$A$3:$B$346,2,0))</f>
        <v/>
      </c>
    </row>
    <row r="650" spans="1:9">
      <c r="A650" s="1206"/>
      <c r="B650" s="606"/>
      <c r="C650" s="1046"/>
      <c r="D650" s="1048"/>
      <c r="E650" s="1068"/>
      <c r="F650" s="1044"/>
      <c r="G650" s="1077">
        <f t="shared" si="10"/>
        <v>0</v>
      </c>
      <c r="H650" s="1042" t="str">
        <f>IF(C650="","",VLOOKUP(C650,Compte!$A$3:$B$346,2,0))</f>
        <v/>
      </c>
      <c r="I650" s="1043" t="str">
        <f>IF(D650="","",VLOOKUP(D650,Compte!$A$3:$B$346,2,0))</f>
        <v/>
      </c>
    </row>
    <row r="651" spans="1:9">
      <c r="A651" s="1206"/>
      <c r="B651" s="606"/>
      <c r="C651" s="1046"/>
      <c r="D651" s="1048"/>
      <c r="E651" s="1068"/>
      <c r="F651" s="1044"/>
      <c r="G651" s="1077">
        <f t="shared" si="10"/>
        <v>0</v>
      </c>
      <c r="H651" s="1042" t="str">
        <f>IF(C651="","",VLOOKUP(C651,Compte!$A$3:$B$346,2,0))</f>
        <v/>
      </c>
      <c r="I651" s="1043" t="str">
        <f>IF(D651="","",VLOOKUP(D651,Compte!$A$3:$B$346,2,0))</f>
        <v/>
      </c>
    </row>
    <row r="652" spans="1:9">
      <c r="A652" s="1206"/>
      <c r="B652" s="606"/>
      <c r="C652" s="1046"/>
      <c r="D652" s="1048"/>
      <c r="E652" s="1068"/>
      <c r="F652" s="1044"/>
      <c r="G652" s="1077">
        <f t="shared" si="10"/>
        <v>0</v>
      </c>
      <c r="H652" s="1042" t="str">
        <f>IF(C652="","",VLOOKUP(C652,Compte!$A$3:$B$346,2,0))</f>
        <v/>
      </c>
      <c r="I652" s="1043" t="str">
        <f>IF(D652="","",VLOOKUP(D652,Compte!$A$3:$B$346,2,0))</f>
        <v/>
      </c>
    </row>
    <row r="653" spans="1:9">
      <c r="A653" s="1206"/>
      <c r="B653" s="606"/>
      <c r="C653" s="1046"/>
      <c r="D653" s="1048"/>
      <c r="E653" s="1068"/>
      <c r="F653" s="1044"/>
      <c r="G653" s="1077">
        <f t="shared" si="10"/>
        <v>0</v>
      </c>
      <c r="H653" s="1042" t="str">
        <f>IF(C653="","",VLOOKUP(C653,Compte!$A$3:$B$346,2,0))</f>
        <v/>
      </c>
      <c r="I653" s="1043" t="str">
        <f>IF(D653="","",VLOOKUP(D653,Compte!$A$3:$B$346,2,0))</f>
        <v/>
      </c>
    </row>
    <row r="654" spans="1:9">
      <c r="A654" s="1206"/>
      <c r="B654" s="606"/>
      <c r="C654" s="1046"/>
      <c r="D654" s="1048"/>
      <c r="E654" s="1068"/>
      <c r="F654" s="1044"/>
      <c r="G654" s="1077">
        <f t="shared" si="10"/>
        <v>0</v>
      </c>
      <c r="H654" s="1042" t="str">
        <f>IF(C654="","",VLOOKUP(C654,Compte!$A$3:$B$346,2,0))</f>
        <v/>
      </c>
      <c r="I654" s="1043" t="str">
        <f>IF(D654="","",VLOOKUP(D654,Compte!$A$3:$B$346,2,0))</f>
        <v/>
      </c>
    </row>
    <row r="655" spans="1:9">
      <c r="A655" s="1206"/>
      <c r="B655" s="606"/>
      <c r="C655" s="1046"/>
      <c r="D655" s="1048"/>
      <c r="E655" s="1068"/>
      <c r="F655" s="1044"/>
      <c r="G655" s="1077">
        <f t="shared" si="10"/>
        <v>0</v>
      </c>
      <c r="H655" s="1042" t="str">
        <f>IF(C655="","",VLOOKUP(C655,Compte!$A$3:$B$346,2,0))</f>
        <v/>
      </c>
      <c r="I655" s="1043" t="str">
        <f>IF(D655="","",VLOOKUP(D655,Compte!$A$3:$B$346,2,0))</f>
        <v/>
      </c>
    </row>
    <row r="656" spans="1:9">
      <c r="A656" s="1206"/>
      <c r="B656" s="606"/>
      <c r="C656" s="1046"/>
      <c r="D656" s="1048"/>
      <c r="E656" s="1068"/>
      <c r="F656" s="1044"/>
      <c r="G656" s="1077">
        <f t="shared" si="10"/>
        <v>0</v>
      </c>
      <c r="H656" s="1042" t="str">
        <f>IF(C656="","",VLOOKUP(C656,Compte!$A$3:$B$346,2,0))</f>
        <v/>
      </c>
      <c r="I656" s="1043" t="str">
        <f>IF(D656="","",VLOOKUP(D656,Compte!$A$3:$B$346,2,0))</f>
        <v/>
      </c>
    </row>
    <row r="657" spans="1:9">
      <c r="A657" s="1206"/>
      <c r="B657" s="606"/>
      <c r="C657" s="1046"/>
      <c r="D657" s="1048"/>
      <c r="E657" s="1068"/>
      <c r="F657" s="1044"/>
      <c r="G657" s="1077">
        <f t="shared" si="10"/>
        <v>0</v>
      </c>
      <c r="H657" s="1042" t="str">
        <f>IF(C657="","",VLOOKUP(C657,Compte!$A$3:$B$346,2,0))</f>
        <v/>
      </c>
      <c r="I657" s="1043" t="str">
        <f>IF(D657="","",VLOOKUP(D657,Compte!$A$3:$B$346,2,0))</f>
        <v/>
      </c>
    </row>
    <row r="658" spans="1:9">
      <c r="A658" s="1206"/>
      <c r="B658" s="606"/>
      <c r="C658" s="1046"/>
      <c r="D658" s="1048"/>
      <c r="E658" s="1068"/>
      <c r="F658" s="1044"/>
      <c r="G658" s="1077">
        <f t="shared" si="10"/>
        <v>0</v>
      </c>
      <c r="H658" s="1042" t="str">
        <f>IF(C658="","",VLOOKUP(C658,Compte!$A$3:$B$346,2,0))</f>
        <v/>
      </c>
      <c r="I658" s="1043" t="str">
        <f>IF(D658="","",VLOOKUP(D658,Compte!$A$3:$B$346,2,0))</f>
        <v/>
      </c>
    </row>
    <row r="659" spans="1:9">
      <c r="A659" s="1206"/>
      <c r="B659" s="606"/>
      <c r="C659" s="1046"/>
      <c r="D659" s="1048"/>
      <c r="E659" s="1068"/>
      <c r="F659" s="1044"/>
      <c r="G659" s="1077">
        <f t="shared" si="10"/>
        <v>0</v>
      </c>
      <c r="H659" s="1042" t="str">
        <f>IF(C659="","",VLOOKUP(C659,Compte!$A$3:$B$346,2,0))</f>
        <v/>
      </c>
      <c r="I659" s="1043" t="str">
        <f>IF(D659="","",VLOOKUP(D659,Compte!$A$3:$B$346,2,0))</f>
        <v/>
      </c>
    </row>
    <row r="660" spans="1:9">
      <c r="A660" s="1206"/>
      <c r="B660" s="606"/>
      <c r="C660" s="1046"/>
      <c r="D660" s="1048"/>
      <c r="E660" s="1068"/>
      <c r="F660" s="1044"/>
      <c r="G660" s="1077">
        <f t="shared" si="10"/>
        <v>0</v>
      </c>
      <c r="H660" s="1042" t="str">
        <f>IF(C660="","",VLOOKUP(C660,Compte!$A$3:$B$346,2,0))</f>
        <v/>
      </c>
      <c r="I660" s="1043" t="str">
        <f>IF(D660="","",VLOOKUP(D660,Compte!$A$3:$B$346,2,0))</f>
        <v/>
      </c>
    </row>
    <row r="661" spans="1:9">
      <c r="A661" s="1206"/>
      <c r="B661" s="606"/>
      <c r="C661" s="1046"/>
      <c r="D661" s="1048"/>
      <c r="E661" s="1068"/>
      <c r="F661" s="1044"/>
      <c r="G661" s="1077">
        <f t="shared" si="10"/>
        <v>0</v>
      </c>
      <c r="H661" s="1042" t="str">
        <f>IF(C661="","",VLOOKUP(C661,Compte!$A$3:$B$346,2,0))</f>
        <v/>
      </c>
      <c r="I661" s="1043" t="str">
        <f>IF(D661="","",VLOOKUP(D661,Compte!$A$3:$B$346,2,0))</f>
        <v/>
      </c>
    </row>
    <row r="662" spans="1:9">
      <c r="A662" s="1206"/>
      <c r="B662" s="606"/>
      <c r="C662" s="1046"/>
      <c r="D662" s="1048"/>
      <c r="E662" s="1068"/>
      <c r="F662" s="1044"/>
      <c r="G662" s="1077">
        <f t="shared" si="10"/>
        <v>0</v>
      </c>
      <c r="H662" s="1042" t="str">
        <f>IF(C662="","",VLOOKUP(C662,Compte!$A$3:$B$346,2,0))</f>
        <v/>
      </c>
      <c r="I662" s="1043" t="str">
        <f>IF(D662="","",VLOOKUP(D662,Compte!$A$3:$B$346,2,0))</f>
        <v/>
      </c>
    </row>
    <row r="663" spans="1:9">
      <c r="A663" s="1206"/>
      <c r="B663" s="606"/>
      <c r="C663" s="1046"/>
      <c r="D663" s="1048"/>
      <c r="E663" s="1068"/>
      <c r="F663" s="1044"/>
      <c r="G663" s="1077">
        <f t="shared" si="10"/>
        <v>0</v>
      </c>
      <c r="H663" s="1042" t="str">
        <f>IF(C663="","",VLOOKUP(C663,Compte!$A$3:$B$346,2,0))</f>
        <v/>
      </c>
      <c r="I663" s="1043" t="str">
        <f>IF(D663="","",VLOOKUP(D663,Compte!$A$3:$B$346,2,0))</f>
        <v/>
      </c>
    </row>
    <row r="664" spans="1:9">
      <c r="A664" s="1206"/>
      <c r="B664" s="606"/>
      <c r="C664" s="1046"/>
      <c r="D664" s="1048"/>
      <c r="E664" s="1068"/>
      <c r="F664" s="1044"/>
      <c r="G664" s="1077">
        <f t="shared" si="10"/>
        <v>0</v>
      </c>
      <c r="H664" s="1042" t="str">
        <f>IF(C664="","",VLOOKUP(C664,Compte!$A$3:$B$346,2,0))</f>
        <v/>
      </c>
      <c r="I664" s="1043" t="str">
        <f>IF(D664="","",VLOOKUP(D664,Compte!$A$3:$B$346,2,0))</f>
        <v/>
      </c>
    </row>
    <row r="665" spans="1:9">
      <c r="A665" s="1206"/>
      <c r="B665" s="606"/>
      <c r="C665" s="1046"/>
      <c r="D665" s="1048"/>
      <c r="E665" s="1068"/>
      <c r="F665" s="1044"/>
      <c r="G665" s="1077">
        <f t="shared" si="10"/>
        <v>0</v>
      </c>
      <c r="H665" s="1042" t="str">
        <f>IF(C665="","",VLOOKUP(C665,Compte!$A$3:$B$346,2,0))</f>
        <v/>
      </c>
      <c r="I665" s="1043" t="str">
        <f>IF(D665="","",VLOOKUP(D665,Compte!$A$3:$B$346,2,0))</f>
        <v/>
      </c>
    </row>
    <row r="666" spans="1:9">
      <c r="A666" s="1206"/>
      <c r="B666" s="606"/>
      <c r="C666" s="1046"/>
      <c r="D666" s="1048"/>
      <c r="E666" s="1068"/>
      <c r="F666" s="1044"/>
      <c r="G666" s="1077">
        <f t="shared" si="10"/>
        <v>0</v>
      </c>
      <c r="H666" s="1042" t="str">
        <f>IF(C666="","",VLOOKUP(C666,Compte!$A$3:$B$346,2,0))</f>
        <v/>
      </c>
      <c r="I666" s="1043" t="str">
        <f>IF(D666="","",VLOOKUP(D666,Compte!$A$3:$B$346,2,0))</f>
        <v/>
      </c>
    </row>
    <row r="667" spans="1:9">
      <c r="A667" s="1206"/>
      <c r="B667" s="606"/>
      <c r="C667" s="1046"/>
      <c r="D667" s="1048"/>
      <c r="E667" s="1068"/>
      <c r="F667" s="1044"/>
      <c r="G667" s="1077">
        <f t="shared" si="10"/>
        <v>0</v>
      </c>
      <c r="H667" s="1042" t="str">
        <f>IF(C667="","",VLOOKUP(C667,Compte!$A$3:$B$346,2,0))</f>
        <v/>
      </c>
      <c r="I667" s="1043" t="str">
        <f>IF(D667="","",VLOOKUP(D667,Compte!$A$3:$B$346,2,0))</f>
        <v/>
      </c>
    </row>
    <row r="668" spans="1:9">
      <c r="A668" s="1206"/>
      <c r="B668" s="606"/>
      <c r="C668" s="1046"/>
      <c r="D668" s="1048"/>
      <c r="E668" s="1068"/>
      <c r="F668" s="1044"/>
      <c r="G668" s="1077">
        <f t="shared" si="10"/>
        <v>0</v>
      </c>
      <c r="H668" s="1042" t="str">
        <f>IF(C668="","",VLOOKUP(C668,Compte!$A$3:$B$346,2,0))</f>
        <v/>
      </c>
      <c r="I668" s="1043" t="str">
        <f>IF(D668="","",VLOOKUP(D668,Compte!$A$3:$B$346,2,0))</f>
        <v/>
      </c>
    </row>
    <row r="669" spans="1:9">
      <c r="A669" s="1206"/>
      <c r="B669" s="606"/>
      <c r="C669" s="1046"/>
      <c r="D669" s="1048"/>
      <c r="E669" s="1068"/>
      <c r="F669" s="1044"/>
      <c r="G669" s="1077">
        <f t="shared" si="10"/>
        <v>0</v>
      </c>
      <c r="H669" s="1042" t="str">
        <f>IF(C669="","",VLOOKUP(C669,Compte!$A$3:$B$346,2,0))</f>
        <v/>
      </c>
      <c r="I669" s="1043" t="str">
        <f>IF(D669="","",VLOOKUP(D669,Compte!$A$3:$B$346,2,0))</f>
        <v/>
      </c>
    </row>
    <row r="670" spans="1:9">
      <c r="A670" s="1206"/>
      <c r="B670" s="606"/>
      <c r="C670" s="1046"/>
      <c r="D670" s="1048"/>
      <c r="E670" s="1068"/>
      <c r="F670" s="1044"/>
      <c r="G670" s="1077">
        <f t="shared" si="10"/>
        <v>0</v>
      </c>
      <c r="H670" s="1042" t="str">
        <f>IF(C670="","",VLOOKUP(C670,Compte!$A$3:$B$346,2,0))</f>
        <v/>
      </c>
      <c r="I670" s="1043" t="str">
        <f>IF(D670="","",VLOOKUP(D670,Compte!$A$3:$B$346,2,0))</f>
        <v/>
      </c>
    </row>
    <row r="671" spans="1:9">
      <c r="A671" s="1206"/>
      <c r="B671" s="606"/>
      <c r="C671" s="1046"/>
      <c r="D671" s="1048"/>
      <c r="E671" s="1068"/>
      <c r="F671" s="1044"/>
      <c r="G671" s="1077">
        <f t="shared" si="10"/>
        <v>0</v>
      </c>
      <c r="H671" s="1042" t="str">
        <f>IF(C671="","",VLOOKUP(C671,Compte!$A$3:$B$346,2,0))</f>
        <v/>
      </c>
      <c r="I671" s="1043" t="str">
        <f>IF(D671="","",VLOOKUP(D671,Compte!$A$3:$B$346,2,0))</f>
        <v/>
      </c>
    </row>
    <row r="672" spans="1:9">
      <c r="A672" s="1206"/>
      <c r="B672" s="606"/>
      <c r="C672" s="1046"/>
      <c r="D672" s="1048"/>
      <c r="E672" s="1068"/>
      <c r="F672" s="1044"/>
      <c r="G672" s="1077">
        <f t="shared" si="10"/>
        <v>0</v>
      </c>
      <c r="H672" s="1042" t="str">
        <f>IF(C672="","",VLOOKUP(C672,Compte!$A$3:$B$346,2,0))</f>
        <v/>
      </c>
      <c r="I672" s="1043" t="str">
        <f>IF(D672="","",VLOOKUP(D672,Compte!$A$3:$B$346,2,0))</f>
        <v/>
      </c>
    </row>
    <row r="673" spans="1:9">
      <c r="A673" s="1206"/>
      <c r="B673" s="606"/>
      <c r="C673" s="1046"/>
      <c r="D673" s="1048"/>
      <c r="E673" s="1068"/>
      <c r="F673" s="1044"/>
      <c r="G673" s="1077">
        <f t="shared" si="10"/>
        <v>0</v>
      </c>
      <c r="H673" s="1042" t="str">
        <f>IF(C673="","",VLOOKUP(C673,Compte!$A$3:$B$346,2,0))</f>
        <v/>
      </c>
      <c r="I673" s="1043" t="str">
        <f>IF(D673="","",VLOOKUP(D673,Compte!$A$3:$B$346,2,0))</f>
        <v/>
      </c>
    </row>
    <row r="674" spans="1:9">
      <c r="A674" s="1206"/>
      <c r="B674" s="606"/>
      <c r="C674" s="1046"/>
      <c r="D674" s="1048"/>
      <c r="E674" s="1068"/>
      <c r="F674" s="1044"/>
      <c r="G674" s="1077">
        <f t="shared" si="10"/>
        <v>0</v>
      </c>
      <c r="H674" s="1042" t="str">
        <f>IF(C674="","",VLOOKUP(C674,Compte!$A$3:$B$346,2,0))</f>
        <v/>
      </c>
      <c r="I674" s="1043" t="str">
        <f>IF(D674="","",VLOOKUP(D674,Compte!$A$3:$B$346,2,0))</f>
        <v/>
      </c>
    </row>
    <row r="675" spans="1:9">
      <c r="A675" s="1206"/>
      <c r="B675" s="606"/>
      <c r="C675" s="1046"/>
      <c r="D675" s="1048"/>
      <c r="E675" s="1068"/>
      <c r="F675" s="1044"/>
      <c r="G675" s="1077">
        <f t="shared" si="10"/>
        <v>0</v>
      </c>
      <c r="H675" s="1042" t="str">
        <f>IF(C675="","",VLOOKUP(C675,Compte!$A$3:$B$346,2,0))</f>
        <v/>
      </c>
      <c r="I675" s="1043" t="str">
        <f>IF(D675="","",VLOOKUP(D675,Compte!$A$3:$B$346,2,0))</f>
        <v/>
      </c>
    </row>
    <row r="676" spans="1:9">
      <c r="A676" s="1206"/>
      <c r="B676" s="606"/>
      <c r="C676" s="1046"/>
      <c r="D676" s="1048"/>
      <c r="E676" s="1068"/>
      <c r="F676" s="1044"/>
      <c r="G676" s="1077">
        <f t="shared" si="10"/>
        <v>0</v>
      </c>
      <c r="H676" s="1042" t="str">
        <f>IF(C676="","",VLOOKUP(C676,Compte!$A$3:$B$346,2,0))</f>
        <v/>
      </c>
      <c r="I676" s="1043" t="str">
        <f>IF(D676="","",VLOOKUP(D676,Compte!$A$3:$B$346,2,0))</f>
        <v/>
      </c>
    </row>
    <row r="677" spans="1:9">
      <c r="A677" s="1206"/>
      <c r="B677" s="606"/>
      <c r="C677" s="1046"/>
      <c r="D677" s="1048"/>
      <c r="E677" s="1068"/>
      <c r="F677" s="1044"/>
      <c r="G677" s="1077">
        <f t="shared" si="10"/>
        <v>0</v>
      </c>
      <c r="H677" s="1042" t="str">
        <f>IF(C677="","",VLOOKUP(C677,Compte!$A$3:$B$346,2,0))</f>
        <v/>
      </c>
      <c r="I677" s="1043" t="str">
        <f>IF(D677="","",VLOOKUP(D677,Compte!$A$3:$B$346,2,0))</f>
        <v/>
      </c>
    </row>
    <row r="678" spans="1:9">
      <c r="A678" s="1206"/>
      <c r="B678" s="606"/>
      <c r="C678" s="1046"/>
      <c r="D678" s="1048"/>
      <c r="E678" s="1068"/>
      <c r="F678" s="1044"/>
      <c r="G678" s="1077">
        <f t="shared" si="10"/>
        <v>0</v>
      </c>
      <c r="H678" s="1042" t="str">
        <f>IF(C678="","",VLOOKUP(C678,Compte!$A$3:$B$346,2,0))</f>
        <v/>
      </c>
      <c r="I678" s="1043" t="str">
        <f>IF(D678="","",VLOOKUP(D678,Compte!$A$3:$B$346,2,0))</f>
        <v/>
      </c>
    </row>
    <row r="679" spans="1:9">
      <c r="A679" s="1206"/>
      <c r="B679" s="606"/>
      <c r="C679" s="1046"/>
      <c r="D679" s="1048"/>
      <c r="E679" s="1068"/>
      <c r="F679" s="1044"/>
      <c r="G679" s="1077">
        <f t="shared" si="10"/>
        <v>0</v>
      </c>
      <c r="H679" s="1042" t="str">
        <f>IF(C679="","",VLOOKUP(C679,Compte!$A$3:$B$346,2,0))</f>
        <v/>
      </c>
      <c r="I679" s="1043" t="str">
        <f>IF(D679="","",VLOOKUP(D679,Compte!$A$3:$B$346,2,0))</f>
        <v/>
      </c>
    </row>
    <row r="680" spans="1:9">
      <c r="A680" s="1206"/>
      <c r="B680" s="606"/>
      <c r="C680" s="1046"/>
      <c r="D680" s="1048"/>
      <c r="E680" s="1068"/>
      <c r="F680" s="1044"/>
      <c r="G680" s="1077">
        <f t="shared" si="10"/>
        <v>0</v>
      </c>
      <c r="H680" s="1042" t="str">
        <f>IF(C680="","",VLOOKUP(C680,Compte!$A$3:$B$346,2,0))</f>
        <v/>
      </c>
      <c r="I680" s="1043" t="str">
        <f>IF(D680="","",VLOOKUP(D680,Compte!$A$3:$B$346,2,0))</f>
        <v/>
      </c>
    </row>
    <row r="681" spans="1:9">
      <c r="A681" s="1206"/>
      <c r="B681" s="606"/>
      <c r="C681" s="1046"/>
      <c r="D681" s="1048"/>
      <c r="E681" s="1068"/>
      <c r="F681" s="1044"/>
      <c r="G681" s="1077">
        <f t="shared" si="10"/>
        <v>0</v>
      </c>
      <c r="H681" s="1042" t="str">
        <f>IF(C681="","",VLOOKUP(C681,Compte!$A$3:$B$346,2,0))</f>
        <v/>
      </c>
      <c r="I681" s="1043" t="str">
        <f>IF(D681="","",VLOOKUP(D681,Compte!$A$3:$B$346,2,0))</f>
        <v/>
      </c>
    </row>
    <row r="682" spans="1:9">
      <c r="A682" s="1206"/>
      <c r="B682" s="606"/>
      <c r="C682" s="1046"/>
      <c r="D682" s="1048"/>
      <c r="E682" s="1068"/>
      <c r="F682" s="1044"/>
      <c r="G682" s="1077">
        <f t="shared" si="10"/>
        <v>0</v>
      </c>
      <c r="H682" s="1042" t="str">
        <f>IF(C682="","",VLOOKUP(C682,Compte!$A$3:$B$346,2,0))</f>
        <v/>
      </c>
      <c r="I682" s="1043" t="str">
        <f>IF(D682="","",VLOOKUP(D682,Compte!$A$3:$B$346,2,0))</f>
        <v/>
      </c>
    </row>
    <row r="683" spans="1:9">
      <c r="A683" s="1206"/>
      <c r="B683" s="606"/>
      <c r="C683" s="1046"/>
      <c r="D683" s="1048"/>
      <c r="E683" s="1068"/>
      <c r="F683" s="1044"/>
      <c r="G683" s="1077">
        <f t="shared" si="10"/>
        <v>0</v>
      </c>
      <c r="H683" s="1042" t="str">
        <f>IF(C683="","",VLOOKUP(C683,Compte!$A$3:$B$346,2,0))</f>
        <v/>
      </c>
      <c r="I683" s="1043" t="str">
        <f>IF(D683="","",VLOOKUP(D683,Compte!$A$3:$B$346,2,0))</f>
        <v/>
      </c>
    </row>
    <row r="684" spans="1:9">
      <c r="A684" s="1206"/>
      <c r="B684" s="606"/>
      <c r="C684" s="1046"/>
      <c r="D684" s="1048"/>
      <c r="E684" s="1068"/>
      <c r="F684" s="1044"/>
      <c r="G684" s="1077">
        <f t="shared" si="10"/>
        <v>0</v>
      </c>
      <c r="H684" s="1042" t="str">
        <f>IF(C684="","",VLOOKUP(C684,Compte!$A$3:$B$346,2,0))</f>
        <v/>
      </c>
      <c r="I684" s="1043" t="str">
        <f>IF(D684="","",VLOOKUP(D684,Compte!$A$3:$B$346,2,0))</f>
        <v/>
      </c>
    </row>
    <row r="685" spans="1:9">
      <c r="A685" s="1206"/>
      <c r="B685" s="606"/>
      <c r="C685" s="1046"/>
      <c r="D685" s="1048"/>
      <c r="E685" s="1068"/>
      <c r="F685" s="1044"/>
      <c r="G685" s="1077">
        <f t="shared" si="10"/>
        <v>0</v>
      </c>
      <c r="H685" s="1042" t="str">
        <f>IF(C685="","",VLOOKUP(C685,Compte!$A$3:$B$346,2,0))</f>
        <v/>
      </c>
      <c r="I685" s="1043" t="str">
        <f>IF(D685="","",VLOOKUP(D685,Compte!$A$3:$B$346,2,0))</f>
        <v/>
      </c>
    </row>
    <row r="686" spans="1:9">
      <c r="A686" s="1206"/>
      <c r="B686" s="606"/>
      <c r="C686" s="1046"/>
      <c r="D686" s="1048"/>
      <c r="E686" s="1068"/>
      <c r="F686" s="1044"/>
      <c r="G686" s="1077">
        <f t="shared" si="10"/>
        <v>0</v>
      </c>
      <c r="H686" s="1042" t="str">
        <f>IF(C686="","",VLOOKUP(C686,Compte!$A$3:$B$346,2,0))</f>
        <v/>
      </c>
      <c r="I686" s="1043" t="str">
        <f>IF(D686="","",VLOOKUP(D686,Compte!$A$3:$B$346,2,0))</f>
        <v/>
      </c>
    </row>
    <row r="687" spans="1:9">
      <c r="A687" s="1206"/>
      <c r="B687" s="606"/>
      <c r="C687" s="1046"/>
      <c r="D687" s="1048"/>
      <c r="E687" s="1068"/>
      <c r="F687" s="1044"/>
      <c r="G687" s="1077">
        <f t="shared" si="10"/>
        <v>0</v>
      </c>
      <c r="H687" s="1042" t="str">
        <f>IF(C687="","",VLOOKUP(C687,Compte!$A$3:$B$346,2,0))</f>
        <v/>
      </c>
      <c r="I687" s="1043" t="str">
        <f>IF(D687="","",VLOOKUP(D687,Compte!$A$3:$B$346,2,0))</f>
        <v/>
      </c>
    </row>
    <row r="688" spans="1:9">
      <c r="A688" s="1206"/>
      <c r="B688" s="606"/>
      <c r="C688" s="1046"/>
      <c r="D688" s="1048"/>
      <c r="E688" s="1068"/>
      <c r="F688" s="1044"/>
      <c r="G688" s="1077">
        <f t="shared" si="10"/>
        <v>0</v>
      </c>
      <c r="H688" s="1042" t="str">
        <f>IF(C688="","",VLOOKUP(C688,Compte!$A$3:$B$346,2,0))</f>
        <v/>
      </c>
      <c r="I688" s="1043" t="str">
        <f>IF(D688="","",VLOOKUP(D688,Compte!$A$3:$B$346,2,0))</f>
        <v/>
      </c>
    </row>
    <row r="689" spans="1:9">
      <c r="A689" s="1206"/>
      <c r="B689" s="606"/>
      <c r="C689" s="1046"/>
      <c r="D689" s="1048"/>
      <c r="E689" s="1068"/>
      <c r="F689" s="1044"/>
      <c r="G689" s="1077">
        <f t="shared" si="10"/>
        <v>0</v>
      </c>
      <c r="H689" s="1042" t="str">
        <f>IF(C689="","",VLOOKUP(C689,Compte!$A$3:$B$346,2,0))</f>
        <v/>
      </c>
      <c r="I689" s="1043" t="str">
        <f>IF(D689="","",VLOOKUP(D689,Compte!$A$3:$B$346,2,0))</f>
        <v/>
      </c>
    </row>
    <row r="690" spans="1:9">
      <c r="A690" s="1206"/>
      <c r="B690" s="606"/>
      <c r="C690" s="1046"/>
      <c r="D690" s="1048"/>
      <c r="E690" s="1068"/>
      <c r="F690" s="1044"/>
      <c r="G690" s="1077">
        <f t="shared" si="10"/>
        <v>0</v>
      </c>
      <c r="H690" s="1042" t="str">
        <f>IF(C690="","",VLOOKUP(C690,Compte!$A$3:$B$346,2,0))</f>
        <v/>
      </c>
      <c r="I690" s="1043" t="str">
        <f>IF(D690="","",VLOOKUP(D690,Compte!$A$3:$B$346,2,0))</f>
        <v/>
      </c>
    </row>
    <row r="691" spans="1:9">
      <c r="A691" s="1206"/>
      <c r="B691" s="606"/>
      <c r="C691" s="1046"/>
      <c r="D691" s="1048"/>
      <c r="E691" s="1068"/>
      <c r="F691" s="1044"/>
      <c r="G691" s="1077">
        <f t="shared" si="10"/>
        <v>0</v>
      </c>
      <c r="H691" s="1042" t="str">
        <f>IF(C691="","",VLOOKUP(C691,Compte!$A$3:$B$346,2,0))</f>
        <v/>
      </c>
      <c r="I691" s="1043" t="str">
        <f>IF(D691="","",VLOOKUP(D691,Compte!$A$3:$B$346,2,0))</f>
        <v/>
      </c>
    </row>
    <row r="692" spans="1:9">
      <c r="A692" s="1206"/>
      <c r="B692" s="606"/>
      <c r="C692" s="1046"/>
      <c r="D692" s="1048"/>
      <c r="E692" s="1068"/>
      <c r="F692" s="1044"/>
      <c r="G692" s="1077">
        <f t="shared" si="10"/>
        <v>0</v>
      </c>
      <c r="H692" s="1042" t="str">
        <f>IF(C692="","",VLOOKUP(C692,Compte!$A$3:$B$346,2,0))</f>
        <v/>
      </c>
      <c r="I692" s="1043" t="str">
        <f>IF(D692="","",VLOOKUP(D692,Compte!$A$3:$B$346,2,0))</f>
        <v/>
      </c>
    </row>
    <row r="693" spans="1:9">
      <c r="A693" s="1206"/>
      <c r="B693" s="606"/>
      <c r="C693" s="1046"/>
      <c r="D693" s="1048"/>
      <c r="E693" s="1068"/>
      <c r="F693" s="1044"/>
      <c r="G693" s="1077">
        <f t="shared" si="10"/>
        <v>0</v>
      </c>
      <c r="H693" s="1042" t="str">
        <f>IF(C693="","",VLOOKUP(C693,Compte!$A$3:$B$346,2,0))</f>
        <v/>
      </c>
      <c r="I693" s="1043" t="str">
        <f>IF(D693="","",VLOOKUP(D693,Compte!$A$3:$B$346,2,0))</f>
        <v/>
      </c>
    </row>
    <row r="694" spans="1:9">
      <c r="A694" s="1206"/>
      <c r="B694" s="606"/>
      <c r="C694" s="1046"/>
      <c r="D694" s="1048"/>
      <c r="E694" s="1068"/>
      <c r="F694" s="1044"/>
      <c r="G694" s="1077">
        <f t="shared" si="10"/>
        <v>0</v>
      </c>
      <c r="H694" s="1042" t="str">
        <f>IF(C694="","",VLOOKUP(C694,Compte!$A$3:$B$346,2,0))</f>
        <v/>
      </c>
      <c r="I694" s="1043" t="str">
        <f>IF(D694="","",VLOOKUP(D694,Compte!$A$3:$B$346,2,0))</f>
        <v/>
      </c>
    </row>
    <row r="695" spans="1:9">
      <c r="A695" s="1206"/>
      <c r="B695" s="606"/>
      <c r="C695" s="1046"/>
      <c r="D695" s="1048"/>
      <c r="E695" s="1068"/>
      <c r="F695" s="1044"/>
      <c r="G695" s="1077">
        <f t="shared" si="10"/>
        <v>0</v>
      </c>
      <c r="H695" s="1042" t="str">
        <f>IF(C695="","",VLOOKUP(C695,Compte!$A$3:$B$346,2,0))</f>
        <v/>
      </c>
      <c r="I695" s="1043" t="str">
        <f>IF(D695="","",VLOOKUP(D695,Compte!$A$3:$B$346,2,0))</f>
        <v/>
      </c>
    </row>
    <row r="696" spans="1:9">
      <c r="A696" s="1206"/>
      <c r="B696" s="606"/>
      <c r="C696" s="1046"/>
      <c r="D696" s="1048"/>
      <c r="E696" s="1068"/>
      <c r="F696" s="1044"/>
      <c r="G696" s="1077">
        <f t="shared" si="10"/>
        <v>0</v>
      </c>
      <c r="H696" s="1042" t="str">
        <f>IF(C696="","",VLOOKUP(C696,Compte!$A$3:$B$346,2,0))</f>
        <v/>
      </c>
      <c r="I696" s="1043" t="str">
        <f>IF(D696="","",VLOOKUP(D696,Compte!$A$3:$B$346,2,0))</f>
        <v/>
      </c>
    </row>
    <row r="697" spans="1:9">
      <c r="A697" s="1206"/>
      <c r="B697" s="606"/>
      <c r="C697" s="1046"/>
      <c r="D697" s="1048"/>
      <c r="E697" s="1068"/>
      <c r="F697" s="1044"/>
      <c r="G697" s="1077">
        <f t="shared" si="10"/>
        <v>0</v>
      </c>
      <c r="H697" s="1042" t="str">
        <f>IF(C697="","",VLOOKUP(C697,Compte!$A$3:$B$346,2,0))</f>
        <v/>
      </c>
      <c r="I697" s="1043" t="str">
        <f>IF(D697="","",VLOOKUP(D697,Compte!$A$3:$B$346,2,0))</f>
        <v/>
      </c>
    </row>
    <row r="698" spans="1:9">
      <c r="A698" s="1206"/>
      <c r="B698" s="606"/>
      <c r="C698" s="1046"/>
      <c r="D698" s="1048"/>
      <c r="E698" s="1068"/>
      <c r="F698" s="1044"/>
      <c r="G698" s="1077">
        <f t="shared" si="10"/>
        <v>0</v>
      </c>
      <c r="H698" s="1042" t="str">
        <f>IF(C698="","",VLOOKUP(C698,Compte!$A$3:$B$346,2,0))</f>
        <v/>
      </c>
      <c r="I698" s="1043" t="str">
        <f>IF(D698="","",VLOOKUP(D698,Compte!$A$3:$B$346,2,0))</f>
        <v/>
      </c>
    </row>
    <row r="699" spans="1:9">
      <c r="A699" s="1206"/>
      <c r="B699" s="606"/>
      <c r="C699" s="1046"/>
      <c r="D699" s="1048"/>
      <c r="E699" s="1068"/>
      <c r="F699" s="1044"/>
      <c r="G699" s="1077">
        <f t="shared" si="10"/>
        <v>0</v>
      </c>
      <c r="H699" s="1042" t="str">
        <f>IF(C699="","",VLOOKUP(C699,Compte!$A$3:$B$346,2,0))</f>
        <v/>
      </c>
      <c r="I699" s="1043" t="str">
        <f>IF(D699="","",VLOOKUP(D699,Compte!$A$3:$B$346,2,0))</f>
        <v/>
      </c>
    </row>
    <row r="700" spans="1:9">
      <c r="A700" s="1206"/>
      <c r="B700" s="606"/>
      <c r="C700" s="1046"/>
      <c r="D700" s="1048"/>
      <c r="E700" s="1068"/>
      <c r="F700" s="1044"/>
      <c r="G700" s="1077">
        <f t="shared" si="10"/>
        <v>0</v>
      </c>
      <c r="H700" s="1042" t="str">
        <f>IF(C700="","",VLOOKUP(C700,Compte!$A$3:$B$346,2,0))</f>
        <v/>
      </c>
      <c r="I700" s="1043" t="str">
        <f>IF(D700="","",VLOOKUP(D700,Compte!$A$3:$B$346,2,0))</f>
        <v/>
      </c>
    </row>
    <row r="701" spans="1:9">
      <c r="A701" s="1206"/>
      <c r="B701" s="606"/>
      <c r="C701" s="1046"/>
      <c r="D701" s="1048"/>
      <c r="E701" s="1068"/>
      <c r="F701" s="1044"/>
      <c r="G701" s="1077">
        <f t="shared" si="10"/>
        <v>0</v>
      </c>
      <c r="H701" s="1042" t="str">
        <f>IF(C701="","",VLOOKUP(C701,Compte!$A$3:$B$346,2,0))</f>
        <v/>
      </c>
      <c r="I701" s="1043" t="str">
        <f>IF(D701="","",VLOOKUP(D701,Compte!$A$3:$B$346,2,0))</f>
        <v/>
      </c>
    </row>
    <row r="702" spans="1:9">
      <c r="A702" s="1206"/>
      <c r="B702" s="606"/>
      <c r="C702" s="1046"/>
      <c r="D702" s="1048"/>
      <c r="E702" s="1068"/>
      <c r="F702" s="1044"/>
      <c r="G702" s="1077">
        <f t="shared" si="10"/>
        <v>0</v>
      </c>
      <c r="H702" s="1042" t="str">
        <f>IF(C702="","",VLOOKUP(C702,Compte!$A$3:$B$346,2,0))</f>
        <v/>
      </c>
      <c r="I702" s="1043" t="str">
        <f>IF(D702="","",VLOOKUP(D702,Compte!$A$3:$B$346,2,0))</f>
        <v/>
      </c>
    </row>
    <row r="703" spans="1:9">
      <c r="A703" s="1206"/>
      <c r="B703" s="606"/>
      <c r="C703" s="1046"/>
      <c r="D703" s="1048"/>
      <c r="E703" s="1068"/>
      <c r="F703" s="1044"/>
      <c r="G703" s="1077">
        <f t="shared" si="10"/>
        <v>0</v>
      </c>
      <c r="H703" s="1042" t="str">
        <f>IF(C703="","",VLOOKUP(C703,Compte!$A$3:$B$346,2,0))</f>
        <v/>
      </c>
      <c r="I703" s="1043" t="str">
        <f>IF(D703="","",VLOOKUP(D703,Compte!$A$3:$B$346,2,0))</f>
        <v/>
      </c>
    </row>
    <row r="704" spans="1:9">
      <c r="A704" s="1206"/>
      <c r="B704" s="606"/>
      <c r="C704" s="1046"/>
      <c r="D704" s="1048"/>
      <c r="E704" s="1068"/>
      <c r="F704" s="1044"/>
      <c r="G704" s="1077">
        <f t="shared" si="10"/>
        <v>0</v>
      </c>
      <c r="H704" s="1042" t="str">
        <f>IF(C704="","",VLOOKUP(C704,Compte!$A$3:$B$346,2,0))</f>
        <v/>
      </c>
      <c r="I704" s="1043" t="str">
        <f>IF(D704="","",VLOOKUP(D704,Compte!$A$3:$B$346,2,0))</f>
        <v/>
      </c>
    </row>
    <row r="705" spans="1:9">
      <c r="A705" s="1206"/>
      <c r="B705" s="606"/>
      <c r="C705" s="1046"/>
      <c r="D705" s="1048"/>
      <c r="E705" s="1068"/>
      <c r="F705" s="1044"/>
      <c r="G705" s="1077">
        <f t="shared" si="10"/>
        <v>0</v>
      </c>
      <c r="H705" s="1042" t="str">
        <f>IF(C705="","",VLOOKUP(C705,Compte!$A$3:$B$346,2,0))</f>
        <v/>
      </c>
      <c r="I705" s="1043" t="str">
        <f>IF(D705="","",VLOOKUP(D705,Compte!$A$3:$B$346,2,0))</f>
        <v/>
      </c>
    </row>
    <row r="706" spans="1:9">
      <c r="A706" s="1206"/>
      <c r="B706" s="606"/>
      <c r="C706" s="1046"/>
      <c r="D706" s="1048"/>
      <c r="E706" s="1068"/>
      <c r="F706" s="1044"/>
      <c r="G706" s="1077">
        <f t="shared" si="10"/>
        <v>0</v>
      </c>
      <c r="H706" s="1042" t="str">
        <f>IF(C706="","",VLOOKUP(C706,Compte!$A$3:$B$346,2,0))</f>
        <v/>
      </c>
      <c r="I706" s="1043" t="str">
        <f>IF(D706="","",VLOOKUP(D706,Compte!$A$3:$B$346,2,0))</f>
        <v/>
      </c>
    </row>
    <row r="707" spans="1:9">
      <c r="A707" s="1206"/>
      <c r="B707" s="606"/>
      <c r="C707" s="1046"/>
      <c r="D707" s="1048"/>
      <c r="E707" s="1068"/>
      <c r="F707" s="1044"/>
      <c r="G707" s="1077">
        <f t="shared" si="10"/>
        <v>0</v>
      </c>
      <c r="H707" s="1042" t="str">
        <f>IF(C707="","",VLOOKUP(C707,Compte!$A$3:$B$346,2,0))</f>
        <v/>
      </c>
      <c r="I707" s="1043" t="str">
        <f>IF(D707="","",VLOOKUP(D707,Compte!$A$3:$B$346,2,0))</f>
        <v/>
      </c>
    </row>
    <row r="708" spans="1:9">
      <c r="A708" s="1206"/>
      <c r="B708" s="606"/>
      <c r="C708" s="1046"/>
      <c r="D708" s="1048"/>
      <c r="E708" s="1068"/>
      <c r="F708" s="1044"/>
      <c r="G708" s="1077">
        <f t="shared" si="10"/>
        <v>0</v>
      </c>
      <c r="H708" s="1042" t="str">
        <f>IF(C708="","",VLOOKUP(C708,Compte!$A$3:$B$346,2,0))</f>
        <v/>
      </c>
      <c r="I708" s="1043" t="str">
        <f>IF(D708="","",VLOOKUP(D708,Compte!$A$3:$B$346,2,0))</f>
        <v/>
      </c>
    </row>
    <row r="709" spans="1:9">
      <c r="A709" s="1206"/>
      <c r="B709" s="606"/>
      <c r="C709" s="1046"/>
      <c r="D709" s="1048"/>
      <c r="E709" s="1068"/>
      <c r="F709" s="1044"/>
      <c r="G709" s="1077">
        <f t="shared" si="10"/>
        <v>0</v>
      </c>
      <c r="H709" s="1042" t="str">
        <f>IF(C709="","",VLOOKUP(C709,Compte!$A$3:$B$346,2,0))</f>
        <v/>
      </c>
      <c r="I709" s="1043" t="str">
        <f>IF(D709="","",VLOOKUP(D709,Compte!$A$3:$B$346,2,0))</f>
        <v/>
      </c>
    </row>
    <row r="710" spans="1:9">
      <c r="A710" s="1206"/>
      <c r="B710" s="606"/>
      <c r="C710" s="1046"/>
      <c r="D710" s="1048"/>
      <c r="E710" s="1068"/>
      <c r="F710" s="1044"/>
      <c r="G710" s="1077">
        <f t="shared" si="10"/>
        <v>0</v>
      </c>
      <c r="H710" s="1042" t="str">
        <f>IF(C710="","",VLOOKUP(C710,Compte!$A$3:$B$346,2,0))</f>
        <v/>
      </c>
      <c r="I710" s="1043" t="str">
        <f>IF(D710="","",VLOOKUP(D710,Compte!$A$3:$B$346,2,0))</f>
        <v/>
      </c>
    </row>
    <row r="711" spans="1:9">
      <c r="A711" s="1206"/>
      <c r="B711" s="606"/>
      <c r="C711" s="1046"/>
      <c r="D711" s="1048"/>
      <c r="E711" s="1068"/>
      <c r="F711" s="1044"/>
      <c r="G711" s="1077">
        <f t="shared" si="10"/>
        <v>0</v>
      </c>
      <c r="H711" s="1042" t="str">
        <f>IF(C711="","",VLOOKUP(C711,Compte!$A$3:$B$346,2,0))</f>
        <v/>
      </c>
      <c r="I711" s="1043" t="str">
        <f>IF(D711="","",VLOOKUP(D711,Compte!$A$3:$B$346,2,0))</f>
        <v/>
      </c>
    </row>
    <row r="712" spans="1:9">
      <c r="A712" s="1206"/>
      <c r="B712" s="606"/>
      <c r="C712" s="1046"/>
      <c r="D712" s="1048"/>
      <c r="E712" s="1068"/>
      <c r="F712" s="1044"/>
      <c r="G712" s="1077">
        <f t="shared" ref="G712:G775" si="11">IF(C712="",F712,E712)</f>
        <v>0</v>
      </c>
      <c r="H712" s="1042" t="str">
        <f>IF(C712="","",VLOOKUP(C712,Compte!$A$3:$B$346,2,0))</f>
        <v/>
      </c>
      <c r="I712" s="1043" t="str">
        <f>IF(D712="","",VLOOKUP(D712,Compte!$A$3:$B$346,2,0))</f>
        <v/>
      </c>
    </row>
    <row r="713" spans="1:9">
      <c r="A713" s="1206"/>
      <c r="B713" s="606"/>
      <c r="C713" s="1046"/>
      <c r="D713" s="1048"/>
      <c r="E713" s="1068"/>
      <c r="F713" s="1044"/>
      <c r="G713" s="1077">
        <f t="shared" si="11"/>
        <v>0</v>
      </c>
      <c r="H713" s="1042" t="str">
        <f>IF(C713="","",VLOOKUP(C713,Compte!$A$3:$B$346,2,0))</f>
        <v/>
      </c>
      <c r="I713" s="1043" t="str">
        <f>IF(D713="","",VLOOKUP(D713,Compte!$A$3:$B$346,2,0))</f>
        <v/>
      </c>
    </row>
    <row r="714" spans="1:9">
      <c r="A714" s="1206"/>
      <c r="B714" s="606"/>
      <c r="C714" s="1046"/>
      <c r="D714" s="1048"/>
      <c r="E714" s="1068"/>
      <c r="F714" s="1044"/>
      <c r="G714" s="1077">
        <f t="shared" si="11"/>
        <v>0</v>
      </c>
      <c r="H714" s="1042" t="str">
        <f>IF(C714="","",VLOOKUP(C714,Compte!$A$3:$B$346,2,0))</f>
        <v/>
      </c>
      <c r="I714" s="1043" t="str">
        <f>IF(D714="","",VLOOKUP(D714,Compte!$A$3:$B$346,2,0))</f>
        <v/>
      </c>
    </row>
    <row r="715" spans="1:9">
      <c r="A715" s="1206"/>
      <c r="B715" s="606"/>
      <c r="C715" s="1046"/>
      <c r="D715" s="1048"/>
      <c r="E715" s="1068"/>
      <c r="F715" s="1044"/>
      <c r="G715" s="1077">
        <f t="shared" si="11"/>
        <v>0</v>
      </c>
      <c r="H715" s="1042" t="str">
        <f>IF(C715="","",VLOOKUP(C715,Compte!$A$3:$B$346,2,0))</f>
        <v/>
      </c>
      <c r="I715" s="1043" t="str">
        <f>IF(D715="","",VLOOKUP(D715,Compte!$A$3:$B$346,2,0))</f>
        <v/>
      </c>
    </row>
    <row r="716" spans="1:9">
      <c r="A716" s="1206"/>
      <c r="B716" s="606"/>
      <c r="C716" s="1046"/>
      <c r="D716" s="1048"/>
      <c r="E716" s="1068"/>
      <c r="F716" s="1044"/>
      <c r="G716" s="1077">
        <f t="shared" si="11"/>
        <v>0</v>
      </c>
      <c r="H716" s="1042" t="str">
        <f>IF(C716="","",VLOOKUP(C716,Compte!$A$3:$B$346,2,0))</f>
        <v/>
      </c>
      <c r="I716" s="1043" t="str">
        <f>IF(D716="","",VLOOKUP(D716,Compte!$A$3:$B$346,2,0))</f>
        <v/>
      </c>
    </row>
    <row r="717" spans="1:9">
      <c r="A717" s="1206"/>
      <c r="B717" s="606"/>
      <c r="C717" s="1046"/>
      <c r="D717" s="1048"/>
      <c r="E717" s="1068"/>
      <c r="F717" s="1044"/>
      <c r="G717" s="1077">
        <f t="shared" si="11"/>
        <v>0</v>
      </c>
      <c r="H717" s="1042" t="str">
        <f>IF(C717="","",VLOOKUP(C717,Compte!$A$3:$B$346,2,0))</f>
        <v/>
      </c>
      <c r="I717" s="1043" t="str">
        <f>IF(D717="","",VLOOKUP(D717,Compte!$A$3:$B$346,2,0))</f>
        <v/>
      </c>
    </row>
    <row r="718" spans="1:9">
      <c r="A718" s="1206"/>
      <c r="B718" s="606"/>
      <c r="C718" s="1046"/>
      <c r="D718" s="1048"/>
      <c r="E718" s="1068"/>
      <c r="F718" s="1044"/>
      <c r="G718" s="1077">
        <f t="shared" si="11"/>
        <v>0</v>
      </c>
      <c r="H718" s="1042" t="str">
        <f>IF(C718="","",VLOOKUP(C718,Compte!$A$3:$B$346,2,0))</f>
        <v/>
      </c>
      <c r="I718" s="1043" t="str">
        <f>IF(D718="","",VLOOKUP(D718,Compte!$A$3:$B$346,2,0))</f>
        <v/>
      </c>
    </row>
    <row r="719" spans="1:9">
      <c r="A719" s="1206"/>
      <c r="B719" s="606"/>
      <c r="C719" s="1046"/>
      <c r="D719" s="1048"/>
      <c r="E719" s="1068"/>
      <c r="F719" s="1044"/>
      <c r="G719" s="1077">
        <f t="shared" si="11"/>
        <v>0</v>
      </c>
      <c r="H719" s="1042" t="str">
        <f>IF(C719="","",VLOOKUP(C719,Compte!$A$3:$B$346,2,0))</f>
        <v/>
      </c>
      <c r="I719" s="1043" t="str">
        <f>IF(D719="","",VLOOKUP(D719,Compte!$A$3:$B$346,2,0))</f>
        <v/>
      </c>
    </row>
    <row r="720" spans="1:9">
      <c r="A720" s="1206"/>
      <c r="B720" s="606"/>
      <c r="C720" s="1046"/>
      <c r="D720" s="1048"/>
      <c r="E720" s="1068"/>
      <c r="F720" s="1044"/>
      <c r="G720" s="1077">
        <f t="shared" si="11"/>
        <v>0</v>
      </c>
      <c r="H720" s="1042" t="str">
        <f>IF(C720="","",VLOOKUP(C720,Compte!$A$3:$B$346,2,0))</f>
        <v/>
      </c>
      <c r="I720" s="1043" t="str">
        <f>IF(D720="","",VLOOKUP(D720,Compte!$A$3:$B$346,2,0))</f>
        <v/>
      </c>
    </row>
    <row r="721" spans="1:9">
      <c r="A721" s="1206"/>
      <c r="B721" s="606"/>
      <c r="C721" s="1046"/>
      <c r="D721" s="1048"/>
      <c r="E721" s="1068"/>
      <c r="F721" s="1044"/>
      <c r="G721" s="1077">
        <f t="shared" si="11"/>
        <v>0</v>
      </c>
      <c r="H721" s="1042" t="str">
        <f>IF(C721="","",VLOOKUP(C721,Compte!$A$3:$B$346,2,0))</f>
        <v/>
      </c>
      <c r="I721" s="1043" t="str">
        <f>IF(D721="","",VLOOKUP(D721,Compte!$A$3:$B$346,2,0))</f>
        <v/>
      </c>
    </row>
    <row r="722" spans="1:9">
      <c r="A722" s="1206"/>
      <c r="B722" s="606"/>
      <c r="C722" s="1046"/>
      <c r="D722" s="1048"/>
      <c r="E722" s="1068"/>
      <c r="F722" s="1044"/>
      <c r="G722" s="1077">
        <f t="shared" si="11"/>
        <v>0</v>
      </c>
      <c r="H722" s="1042" t="str">
        <f>IF(C722="","",VLOOKUP(C722,Compte!$A$3:$B$346,2,0))</f>
        <v/>
      </c>
      <c r="I722" s="1043" t="str">
        <f>IF(D722="","",VLOOKUP(D722,Compte!$A$3:$B$346,2,0))</f>
        <v/>
      </c>
    </row>
    <row r="723" spans="1:9">
      <c r="A723" s="1206"/>
      <c r="B723" s="606"/>
      <c r="C723" s="1046"/>
      <c r="D723" s="1048"/>
      <c r="E723" s="1068"/>
      <c r="F723" s="1044"/>
      <c r="G723" s="1077">
        <f t="shared" si="11"/>
        <v>0</v>
      </c>
      <c r="H723" s="1042" t="str">
        <f>IF(C723="","",VLOOKUP(C723,Compte!$A$3:$B$346,2,0))</f>
        <v/>
      </c>
      <c r="I723" s="1043" t="str">
        <f>IF(D723="","",VLOOKUP(D723,Compte!$A$3:$B$346,2,0))</f>
        <v/>
      </c>
    </row>
    <row r="724" spans="1:9">
      <c r="A724" s="1206"/>
      <c r="B724" s="606"/>
      <c r="C724" s="1046"/>
      <c r="D724" s="1048"/>
      <c r="E724" s="1068"/>
      <c r="F724" s="1044"/>
      <c r="G724" s="1077">
        <f t="shared" si="11"/>
        <v>0</v>
      </c>
      <c r="H724" s="1042" t="str">
        <f>IF(C724="","",VLOOKUP(C724,Compte!$A$3:$B$346,2,0))</f>
        <v/>
      </c>
      <c r="I724" s="1043" t="str">
        <f>IF(D724="","",VLOOKUP(D724,Compte!$A$3:$B$346,2,0))</f>
        <v/>
      </c>
    </row>
    <row r="725" spans="1:9">
      <c r="A725" s="1206"/>
      <c r="B725" s="606"/>
      <c r="C725" s="1046"/>
      <c r="D725" s="1048"/>
      <c r="E725" s="1068"/>
      <c r="F725" s="1044"/>
      <c r="G725" s="1077">
        <f t="shared" si="11"/>
        <v>0</v>
      </c>
      <c r="H725" s="1042" t="str">
        <f>IF(C725="","",VLOOKUP(C725,Compte!$A$3:$B$346,2,0))</f>
        <v/>
      </c>
      <c r="I725" s="1043" t="str">
        <f>IF(D725="","",VLOOKUP(D725,Compte!$A$3:$B$346,2,0))</f>
        <v/>
      </c>
    </row>
    <row r="726" spans="1:9">
      <c r="A726" s="1206"/>
      <c r="B726" s="606"/>
      <c r="C726" s="1046"/>
      <c r="D726" s="1048"/>
      <c r="E726" s="1068"/>
      <c r="F726" s="1044"/>
      <c r="G726" s="1077">
        <f t="shared" si="11"/>
        <v>0</v>
      </c>
      <c r="H726" s="1042" t="str">
        <f>IF(C726="","",VLOOKUP(C726,Compte!$A$3:$B$346,2,0))</f>
        <v/>
      </c>
      <c r="I726" s="1043" t="str">
        <f>IF(D726="","",VLOOKUP(D726,Compte!$A$3:$B$346,2,0))</f>
        <v/>
      </c>
    </row>
    <row r="727" spans="1:9">
      <c r="A727" s="1206"/>
      <c r="B727" s="606"/>
      <c r="C727" s="1046"/>
      <c r="D727" s="1048"/>
      <c r="E727" s="1068"/>
      <c r="F727" s="1044"/>
      <c r="G727" s="1077">
        <f t="shared" si="11"/>
        <v>0</v>
      </c>
      <c r="H727" s="1042" t="str">
        <f>IF(C727="","",VLOOKUP(C727,Compte!$A$3:$B$346,2,0))</f>
        <v/>
      </c>
      <c r="I727" s="1043" t="str">
        <f>IF(D727="","",VLOOKUP(D727,Compte!$A$3:$B$346,2,0))</f>
        <v/>
      </c>
    </row>
    <row r="728" spans="1:9">
      <c r="A728" s="1206"/>
      <c r="B728" s="606"/>
      <c r="C728" s="1046"/>
      <c r="D728" s="1048"/>
      <c r="E728" s="1068"/>
      <c r="F728" s="1044"/>
      <c r="G728" s="1077">
        <f t="shared" si="11"/>
        <v>0</v>
      </c>
      <c r="H728" s="1042" t="str">
        <f>IF(C728="","",VLOOKUP(C728,Compte!$A$3:$B$346,2,0))</f>
        <v/>
      </c>
      <c r="I728" s="1043" t="str">
        <f>IF(D728="","",VLOOKUP(D728,Compte!$A$3:$B$346,2,0))</f>
        <v/>
      </c>
    </row>
    <row r="729" spans="1:9">
      <c r="A729" s="1206"/>
      <c r="B729" s="606"/>
      <c r="C729" s="1046"/>
      <c r="D729" s="1048"/>
      <c r="E729" s="1068"/>
      <c r="F729" s="1044"/>
      <c r="G729" s="1077">
        <f t="shared" si="11"/>
        <v>0</v>
      </c>
      <c r="H729" s="1042" t="str">
        <f>IF(C729="","",VLOOKUP(C729,Compte!$A$3:$B$346,2,0))</f>
        <v/>
      </c>
      <c r="I729" s="1043" t="str">
        <f>IF(D729="","",VLOOKUP(D729,Compte!$A$3:$B$346,2,0))</f>
        <v/>
      </c>
    </row>
    <row r="730" spans="1:9">
      <c r="A730" s="1206"/>
      <c r="B730" s="606"/>
      <c r="C730" s="1046"/>
      <c r="D730" s="1048"/>
      <c r="E730" s="1068"/>
      <c r="F730" s="1044"/>
      <c r="G730" s="1077">
        <f t="shared" si="11"/>
        <v>0</v>
      </c>
      <c r="H730" s="1042" t="str">
        <f>IF(C730="","",VLOOKUP(C730,Compte!$A$3:$B$346,2,0))</f>
        <v/>
      </c>
      <c r="I730" s="1043" t="str">
        <f>IF(D730="","",VLOOKUP(D730,Compte!$A$3:$B$346,2,0))</f>
        <v/>
      </c>
    </row>
    <row r="731" spans="1:9">
      <c r="A731" s="1206"/>
      <c r="B731" s="606"/>
      <c r="C731" s="1046"/>
      <c r="D731" s="1048"/>
      <c r="E731" s="1068"/>
      <c r="F731" s="1044"/>
      <c r="G731" s="1077">
        <f t="shared" si="11"/>
        <v>0</v>
      </c>
      <c r="H731" s="1042" t="str">
        <f>IF(C731="","",VLOOKUP(C731,Compte!$A$3:$B$346,2,0))</f>
        <v/>
      </c>
      <c r="I731" s="1043" t="str">
        <f>IF(D731="","",VLOOKUP(D731,Compte!$A$3:$B$346,2,0))</f>
        <v/>
      </c>
    </row>
    <row r="732" spans="1:9">
      <c r="A732" s="1206"/>
      <c r="B732" s="606"/>
      <c r="C732" s="1046"/>
      <c r="D732" s="1048"/>
      <c r="E732" s="1068"/>
      <c r="F732" s="1044"/>
      <c r="G732" s="1077">
        <f t="shared" si="11"/>
        <v>0</v>
      </c>
      <c r="H732" s="1042" t="str">
        <f>IF(C732="","",VLOOKUP(C732,Compte!$A$3:$B$346,2,0))</f>
        <v/>
      </c>
      <c r="I732" s="1043" t="str">
        <f>IF(D732="","",VLOOKUP(D732,Compte!$A$3:$B$346,2,0))</f>
        <v/>
      </c>
    </row>
    <row r="733" spans="1:9">
      <c r="A733" s="1206"/>
      <c r="B733" s="606"/>
      <c r="C733" s="1046"/>
      <c r="D733" s="1048"/>
      <c r="E733" s="1068"/>
      <c r="F733" s="1044"/>
      <c r="G733" s="1077">
        <f t="shared" si="11"/>
        <v>0</v>
      </c>
      <c r="H733" s="1042" t="str">
        <f>IF(C733="","",VLOOKUP(C733,Compte!$A$3:$B$346,2,0))</f>
        <v/>
      </c>
      <c r="I733" s="1043" t="str">
        <f>IF(D733="","",VLOOKUP(D733,Compte!$A$3:$B$346,2,0))</f>
        <v/>
      </c>
    </row>
    <row r="734" spans="1:9">
      <c r="A734" s="1206"/>
      <c r="B734" s="606"/>
      <c r="C734" s="1046"/>
      <c r="D734" s="1048"/>
      <c r="E734" s="1068"/>
      <c r="F734" s="1044"/>
      <c r="G734" s="1077">
        <f t="shared" si="11"/>
        <v>0</v>
      </c>
      <c r="H734" s="1042" t="str">
        <f>IF(C734="","",VLOOKUP(C734,Compte!$A$3:$B$346,2,0))</f>
        <v/>
      </c>
      <c r="I734" s="1043" t="str">
        <f>IF(D734="","",VLOOKUP(D734,Compte!$A$3:$B$346,2,0))</f>
        <v/>
      </c>
    </row>
    <row r="735" spans="1:9">
      <c r="A735" s="1206"/>
      <c r="B735" s="606"/>
      <c r="C735" s="1046"/>
      <c r="D735" s="1048"/>
      <c r="E735" s="1068"/>
      <c r="F735" s="1044"/>
      <c r="G735" s="1077">
        <f t="shared" si="11"/>
        <v>0</v>
      </c>
      <c r="H735" s="1042" t="str">
        <f>IF(C735="","",VLOOKUP(C735,Compte!$A$3:$B$346,2,0))</f>
        <v/>
      </c>
      <c r="I735" s="1043" t="str">
        <f>IF(D735="","",VLOOKUP(D735,Compte!$A$3:$B$346,2,0))</f>
        <v/>
      </c>
    </row>
    <row r="736" spans="1:9">
      <c r="A736" s="1206"/>
      <c r="B736" s="606"/>
      <c r="C736" s="1046"/>
      <c r="D736" s="1048"/>
      <c r="E736" s="1068"/>
      <c r="F736" s="1044"/>
      <c r="G736" s="1077">
        <f t="shared" si="11"/>
        <v>0</v>
      </c>
      <c r="H736" s="1042" t="str">
        <f>IF(C736="","",VLOOKUP(C736,Compte!$A$3:$B$346,2,0))</f>
        <v/>
      </c>
      <c r="I736" s="1043" t="str">
        <f>IF(D736="","",VLOOKUP(D736,Compte!$A$3:$B$346,2,0))</f>
        <v/>
      </c>
    </row>
    <row r="737" spans="1:9">
      <c r="A737" s="1206"/>
      <c r="B737" s="606"/>
      <c r="C737" s="1046"/>
      <c r="D737" s="1048"/>
      <c r="E737" s="1068"/>
      <c r="F737" s="1044"/>
      <c r="G737" s="1077">
        <f t="shared" si="11"/>
        <v>0</v>
      </c>
      <c r="H737" s="1042" t="str">
        <f>IF(C737="","",VLOOKUP(C737,Compte!$A$3:$B$346,2,0))</f>
        <v/>
      </c>
      <c r="I737" s="1043" t="str">
        <f>IF(D737="","",VLOOKUP(D737,Compte!$A$3:$B$346,2,0))</f>
        <v/>
      </c>
    </row>
    <row r="738" spans="1:9">
      <c r="A738" s="1206"/>
      <c r="B738" s="606"/>
      <c r="C738" s="1046"/>
      <c r="D738" s="1048"/>
      <c r="E738" s="1068"/>
      <c r="F738" s="1044"/>
      <c r="G738" s="1077">
        <f t="shared" si="11"/>
        <v>0</v>
      </c>
      <c r="H738" s="1042" t="str">
        <f>IF(C738="","",VLOOKUP(C738,Compte!$A$3:$B$346,2,0))</f>
        <v/>
      </c>
      <c r="I738" s="1043" t="str">
        <f>IF(D738="","",VLOOKUP(D738,Compte!$A$3:$B$346,2,0))</f>
        <v/>
      </c>
    </row>
    <row r="739" spans="1:9">
      <c r="A739" s="1206"/>
      <c r="B739" s="606"/>
      <c r="C739" s="1046"/>
      <c r="D739" s="1048"/>
      <c r="E739" s="1068"/>
      <c r="F739" s="1044"/>
      <c r="G739" s="1077">
        <f t="shared" si="11"/>
        <v>0</v>
      </c>
      <c r="H739" s="1042" t="str">
        <f>IF(C739="","",VLOOKUP(C739,Compte!$A$3:$B$346,2,0))</f>
        <v/>
      </c>
      <c r="I739" s="1043" t="str">
        <f>IF(D739="","",VLOOKUP(D739,Compte!$A$3:$B$346,2,0))</f>
        <v/>
      </c>
    </row>
    <row r="740" spans="1:9">
      <c r="A740" s="1206"/>
      <c r="B740" s="606"/>
      <c r="C740" s="1046"/>
      <c r="D740" s="1048"/>
      <c r="E740" s="1068"/>
      <c r="F740" s="1044"/>
      <c r="G740" s="1077">
        <f t="shared" si="11"/>
        <v>0</v>
      </c>
      <c r="H740" s="1042" t="str">
        <f>IF(C740="","",VLOOKUP(C740,Compte!$A$3:$B$346,2,0))</f>
        <v/>
      </c>
      <c r="I740" s="1043" t="str">
        <f>IF(D740="","",VLOOKUP(D740,Compte!$A$3:$B$346,2,0))</f>
        <v/>
      </c>
    </row>
    <row r="741" spans="1:9">
      <c r="A741" s="1206"/>
      <c r="B741" s="606"/>
      <c r="C741" s="1046"/>
      <c r="D741" s="1048"/>
      <c r="E741" s="1068"/>
      <c r="F741" s="1044"/>
      <c r="G741" s="1077">
        <f t="shared" si="11"/>
        <v>0</v>
      </c>
      <c r="H741" s="1042" t="str">
        <f>IF(C741="","",VLOOKUP(C741,Compte!$A$3:$B$346,2,0))</f>
        <v/>
      </c>
      <c r="I741" s="1043" t="str">
        <f>IF(D741="","",VLOOKUP(D741,Compte!$A$3:$B$346,2,0))</f>
        <v/>
      </c>
    </row>
    <row r="742" spans="1:9">
      <c r="A742" s="1206"/>
      <c r="B742" s="606"/>
      <c r="C742" s="1046"/>
      <c r="D742" s="1048"/>
      <c r="E742" s="1068"/>
      <c r="F742" s="1044"/>
      <c r="G742" s="1077">
        <f t="shared" si="11"/>
        <v>0</v>
      </c>
      <c r="H742" s="1042" t="str">
        <f>IF(C742="","",VLOOKUP(C742,Compte!$A$3:$B$346,2,0))</f>
        <v/>
      </c>
      <c r="I742" s="1043" t="str">
        <f>IF(D742="","",VLOOKUP(D742,Compte!$A$3:$B$346,2,0))</f>
        <v/>
      </c>
    </row>
    <row r="743" spans="1:9">
      <c r="A743" s="1206"/>
      <c r="B743" s="606"/>
      <c r="C743" s="1046"/>
      <c r="D743" s="1048"/>
      <c r="E743" s="1068"/>
      <c r="F743" s="1044"/>
      <c r="G743" s="1077">
        <f t="shared" si="11"/>
        <v>0</v>
      </c>
      <c r="H743" s="1042" t="str">
        <f>IF(C743="","",VLOOKUP(C743,Compte!$A$3:$B$346,2,0))</f>
        <v/>
      </c>
      <c r="I743" s="1043" t="str">
        <f>IF(D743="","",VLOOKUP(D743,Compte!$A$3:$B$346,2,0))</f>
        <v/>
      </c>
    </row>
    <row r="744" spans="1:9">
      <c r="A744" s="1206"/>
      <c r="B744" s="606"/>
      <c r="C744" s="1046"/>
      <c r="D744" s="1048"/>
      <c r="E744" s="1068"/>
      <c r="F744" s="1044"/>
      <c r="G744" s="1077">
        <f t="shared" si="11"/>
        <v>0</v>
      </c>
      <c r="H744" s="1042" t="str">
        <f>IF(C744="","",VLOOKUP(C744,Compte!$A$3:$B$346,2,0))</f>
        <v/>
      </c>
      <c r="I744" s="1043" t="str">
        <f>IF(D744="","",VLOOKUP(D744,Compte!$A$3:$B$346,2,0))</f>
        <v/>
      </c>
    </row>
    <row r="745" spans="1:9">
      <c r="A745" s="1206"/>
      <c r="B745" s="606"/>
      <c r="C745" s="1046"/>
      <c r="D745" s="1048"/>
      <c r="E745" s="1068"/>
      <c r="F745" s="1044"/>
      <c r="G745" s="1077">
        <f t="shared" si="11"/>
        <v>0</v>
      </c>
      <c r="H745" s="1042" t="str">
        <f>IF(C745="","",VLOOKUP(C745,Compte!$A$3:$B$346,2,0))</f>
        <v/>
      </c>
      <c r="I745" s="1043" t="str">
        <f>IF(D745="","",VLOOKUP(D745,Compte!$A$3:$B$346,2,0))</f>
        <v/>
      </c>
    </row>
    <row r="746" spans="1:9">
      <c r="A746" s="1206"/>
      <c r="B746" s="606"/>
      <c r="C746" s="1046"/>
      <c r="D746" s="1048"/>
      <c r="E746" s="1068"/>
      <c r="F746" s="1044"/>
      <c r="G746" s="1077">
        <f t="shared" si="11"/>
        <v>0</v>
      </c>
      <c r="H746" s="1042" t="str">
        <f>IF(C746="","",VLOOKUP(C746,Compte!$A$3:$B$346,2,0))</f>
        <v/>
      </c>
      <c r="I746" s="1043" t="str">
        <f>IF(D746="","",VLOOKUP(D746,Compte!$A$3:$B$346,2,0))</f>
        <v/>
      </c>
    </row>
    <row r="747" spans="1:9">
      <c r="A747" s="1206"/>
      <c r="B747" s="606"/>
      <c r="C747" s="1046"/>
      <c r="D747" s="1048"/>
      <c r="E747" s="1068"/>
      <c r="F747" s="1044"/>
      <c r="G747" s="1077">
        <f t="shared" si="11"/>
        <v>0</v>
      </c>
      <c r="H747" s="1042" t="str">
        <f>IF(C747="","",VLOOKUP(C747,Compte!$A$3:$B$346,2,0))</f>
        <v/>
      </c>
      <c r="I747" s="1043" t="str">
        <f>IF(D747="","",VLOOKUP(D747,Compte!$A$3:$B$346,2,0))</f>
        <v/>
      </c>
    </row>
    <row r="748" spans="1:9">
      <c r="A748" s="1206"/>
      <c r="B748" s="606"/>
      <c r="C748" s="1046"/>
      <c r="D748" s="1048"/>
      <c r="E748" s="1068"/>
      <c r="F748" s="1044"/>
      <c r="G748" s="1077">
        <f t="shared" si="11"/>
        <v>0</v>
      </c>
      <c r="H748" s="1042" t="str">
        <f>IF(C748="","",VLOOKUP(C748,Compte!$A$3:$B$346,2,0))</f>
        <v/>
      </c>
      <c r="I748" s="1043" t="str">
        <f>IF(D748="","",VLOOKUP(D748,Compte!$A$3:$B$346,2,0))</f>
        <v/>
      </c>
    </row>
    <row r="749" spans="1:9">
      <c r="A749" s="1206"/>
      <c r="B749" s="606"/>
      <c r="C749" s="1046"/>
      <c r="D749" s="1048"/>
      <c r="E749" s="1068"/>
      <c r="F749" s="1044"/>
      <c r="G749" s="1077">
        <f t="shared" si="11"/>
        <v>0</v>
      </c>
      <c r="H749" s="1042" t="str">
        <f>IF(C749="","",VLOOKUP(C749,Compte!$A$3:$B$346,2,0))</f>
        <v/>
      </c>
      <c r="I749" s="1043" t="str">
        <f>IF(D749="","",VLOOKUP(D749,Compte!$A$3:$B$346,2,0))</f>
        <v/>
      </c>
    </row>
    <row r="750" spans="1:9">
      <c r="A750" s="1206"/>
      <c r="B750" s="606"/>
      <c r="C750" s="1046"/>
      <c r="D750" s="1048"/>
      <c r="E750" s="1068"/>
      <c r="F750" s="1044"/>
      <c r="G750" s="1077">
        <f t="shared" si="11"/>
        <v>0</v>
      </c>
      <c r="H750" s="1042" t="str">
        <f>IF(C750="","",VLOOKUP(C750,Compte!$A$3:$B$346,2,0))</f>
        <v/>
      </c>
      <c r="I750" s="1043" t="str">
        <f>IF(D750="","",VLOOKUP(D750,Compte!$A$3:$B$346,2,0))</f>
        <v/>
      </c>
    </row>
    <row r="751" spans="1:9">
      <c r="A751" s="1206"/>
      <c r="B751" s="606"/>
      <c r="C751" s="1046"/>
      <c r="D751" s="1048"/>
      <c r="E751" s="1068"/>
      <c r="F751" s="1044"/>
      <c r="G751" s="1077">
        <f t="shared" si="11"/>
        <v>0</v>
      </c>
      <c r="H751" s="1042" t="str">
        <f>IF(C751="","",VLOOKUP(C751,Compte!$A$3:$B$346,2,0))</f>
        <v/>
      </c>
      <c r="I751" s="1043" t="str">
        <f>IF(D751="","",VLOOKUP(D751,Compte!$A$3:$B$346,2,0))</f>
        <v/>
      </c>
    </row>
    <row r="752" spans="1:9">
      <c r="A752" s="1206"/>
      <c r="B752" s="606"/>
      <c r="C752" s="1046"/>
      <c r="D752" s="1048"/>
      <c r="E752" s="1068"/>
      <c r="F752" s="1044"/>
      <c r="G752" s="1077">
        <f t="shared" si="11"/>
        <v>0</v>
      </c>
      <c r="H752" s="1042" t="str">
        <f>IF(C752="","",VLOOKUP(C752,Compte!$A$3:$B$346,2,0))</f>
        <v/>
      </c>
      <c r="I752" s="1043" t="str">
        <f>IF(D752="","",VLOOKUP(D752,Compte!$A$3:$B$346,2,0))</f>
        <v/>
      </c>
    </row>
    <row r="753" spans="1:9">
      <c r="A753" s="1206"/>
      <c r="B753" s="606"/>
      <c r="C753" s="1046"/>
      <c r="D753" s="1048"/>
      <c r="E753" s="1068"/>
      <c r="F753" s="1044"/>
      <c r="G753" s="1077">
        <f t="shared" si="11"/>
        <v>0</v>
      </c>
      <c r="H753" s="1042" t="str">
        <f>IF(C753="","",VLOOKUP(C753,Compte!$A$3:$B$346,2,0))</f>
        <v/>
      </c>
      <c r="I753" s="1043" t="str">
        <f>IF(D753="","",VLOOKUP(D753,Compte!$A$3:$B$346,2,0))</f>
        <v/>
      </c>
    </row>
    <row r="754" spans="1:9">
      <c r="A754" s="1206"/>
      <c r="B754" s="606"/>
      <c r="C754" s="1046"/>
      <c r="D754" s="1048"/>
      <c r="E754" s="1068"/>
      <c r="F754" s="1044"/>
      <c r="G754" s="1077">
        <f t="shared" si="11"/>
        <v>0</v>
      </c>
      <c r="H754" s="1042" t="str">
        <f>IF(C754="","",VLOOKUP(C754,Compte!$A$3:$B$346,2,0))</f>
        <v/>
      </c>
      <c r="I754" s="1043" t="str">
        <f>IF(D754="","",VLOOKUP(D754,Compte!$A$3:$B$346,2,0))</f>
        <v/>
      </c>
    </row>
    <row r="755" spans="1:9">
      <c r="A755" s="1206"/>
      <c r="B755" s="606"/>
      <c r="C755" s="1046"/>
      <c r="D755" s="1048"/>
      <c r="E755" s="1068"/>
      <c r="F755" s="1044"/>
      <c r="G755" s="1077">
        <f t="shared" si="11"/>
        <v>0</v>
      </c>
      <c r="H755" s="1042" t="str">
        <f>IF(C755="","",VLOOKUP(C755,Compte!$A$3:$B$346,2,0))</f>
        <v/>
      </c>
      <c r="I755" s="1043" t="str">
        <f>IF(D755="","",VLOOKUP(D755,Compte!$A$3:$B$346,2,0))</f>
        <v/>
      </c>
    </row>
    <row r="756" spans="1:9">
      <c r="A756" s="1206"/>
      <c r="B756" s="606"/>
      <c r="C756" s="1046"/>
      <c r="D756" s="1048"/>
      <c r="E756" s="1068"/>
      <c r="F756" s="1044"/>
      <c r="G756" s="1077">
        <f t="shared" si="11"/>
        <v>0</v>
      </c>
      <c r="H756" s="1042" t="str">
        <f>IF(C756="","",VLOOKUP(C756,Compte!$A$3:$B$346,2,0))</f>
        <v/>
      </c>
      <c r="I756" s="1043" t="str">
        <f>IF(D756="","",VLOOKUP(D756,Compte!$A$3:$B$346,2,0))</f>
        <v/>
      </c>
    </row>
    <row r="757" spans="1:9">
      <c r="A757" s="1206"/>
      <c r="B757" s="606"/>
      <c r="C757" s="1046"/>
      <c r="D757" s="1048"/>
      <c r="E757" s="1068"/>
      <c r="F757" s="1044"/>
      <c r="G757" s="1077">
        <f t="shared" si="11"/>
        <v>0</v>
      </c>
      <c r="H757" s="1042" t="str">
        <f>IF(C757="","",VLOOKUP(C757,Compte!$A$3:$B$346,2,0))</f>
        <v/>
      </c>
      <c r="I757" s="1043" t="str">
        <f>IF(D757="","",VLOOKUP(D757,Compte!$A$3:$B$346,2,0))</f>
        <v/>
      </c>
    </row>
    <row r="758" spans="1:9">
      <c r="A758" s="1206"/>
      <c r="B758" s="606"/>
      <c r="C758" s="1046"/>
      <c r="D758" s="1048"/>
      <c r="E758" s="1068"/>
      <c r="F758" s="1044"/>
      <c r="G758" s="1077">
        <f t="shared" si="11"/>
        <v>0</v>
      </c>
      <c r="H758" s="1042" t="str">
        <f>IF(C758="","",VLOOKUP(C758,Compte!$A$3:$B$346,2,0))</f>
        <v/>
      </c>
      <c r="I758" s="1043" t="str">
        <f>IF(D758="","",VLOOKUP(D758,Compte!$A$3:$B$346,2,0))</f>
        <v/>
      </c>
    </row>
    <row r="759" spans="1:9">
      <c r="A759" s="1206"/>
      <c r="B759" s="606"/>
      <c r="C759" s="1046"/>
      <c r="D759" s="1048"/>
      <c r="E759" s="1068"/>
      <c r="F759" s="1044"/>
      <c r="G759" s="1077">
        <f t="shared" si="11"/>
        <v>0</v>
      </c>
      <c r="H759" s="1042" t="str">
        <f>IF(C759="","",VLOOKUP(C759,Compte!$A$3:$B$346,2,0))</f>
        <v/>
      </c>
      <c r="I759" s="1043" t="str">
        <f>IF(D759="","",VLOOKUP(D759,Compte!$A$3:$B$346,2,0))</f>
        <v/>
      </c>
    </row>
    <row r="760" spans="1:9">
      <c r="A760" s="1206"/>
      <c r="B760" s="606"/>
      <c r="C760" s="1046"/>
      <c r="D760" s="1048"/>
      <c r="E760" s="1068"/>
      <c r="F760" s="1044"/>
      <c r="G760" s="1077">
        <f t="shared" si="11"/>
        <v>0</v>
      </c>
      <c r="H760" s="1042" t="str">
        <f>IF(C760="","",VLOOKUP(C760,Compte!$A$3:$B$346,2,0))</f>
        <v/>
      </c>
      <c r="I760" s="1043" t="str">
        <f>IF(D760="","",VLOOKUP(D760,Compte!$A$3:$B$346,2,0))</f>
        <v/>
      </c>
    </row>
    <row r="761" spans="1:9">
      <c r="A761" s="1206"/>
      <c r="B761" s="606"/>
      <c r="C761" s="1046"/>
      <c r="D761" s="1048"/>
      <c r="E761" s="1068"/>
      <c r="F761" s="1044"/>
      <c r="G761" s="1077">
        <f t="shared" si="11"/>
        <v>0</v>
      </c>
      <c r="H761" s="1042" t="str">
        <f>IF(C761="","",VLOOKUP(C761,Compte!$A$3:$B$346,2,0))</f>
        <v/>
      </c>
      <c r="I761" s="1043" t="str">
        <f>IF(D761="","",VLOOKUP(D761,Compte!$A$3:$B$346,2,0))</f>
        <v/>
      </c>
    </row>
    <row r="762" spans="1:9">
      <c r="A762" s="1206"/>
      <c r="B762" s="606"/>
      <c r="C762" s="1046"/>
      <c r="D762" s="1048"/>
      <c r="E762" s="1068"/>
      <c r="F762" s="1044"/>
      <c r="G762" s="1077">
        <f t="shared" si="11"/>
        <v>0</v>
      </c>
      <c r="H762" s="1042" t="str">
        <f>IF(C762="","",VLOOKUP(C762,Compte!$A$3:$B$346,2,0))</f>
        <v/>
      </c>
      <c r="I762" s="1043" t="str">
        <f>IF(D762="","",VLOOKUP(D762,Compte!$A$3:$B$346,2,0))</f>
        <v/>
      </c>
    </row>
    <row r="763" spans="1:9">
      <c r="A763" s="1206"/>
      <c r="B763" s="606"/>
      <c r="C763" s="1046"/>
      <c r="D763" s="1048"/>
      <c r="E763" s="1068"/>
      <c r="F763" s="1044"/>
      <c r="G763" s="1077">
        <f t="shared" si="11"/>
        <v>0</v>
      </c>
      <c r="H763" s="1042" t="str">
        <f>IF(C763="","",VLOOKUP(C763,Compte!$A$3:$B$346,2,0))</f>
        <v/>
      </c>
      <c r="I763" s="1043" t="str">
        <f>IF(D763="","",VLOOKUP(D763,Compte!$A$3:$B$346,2,0))</f>
        <v/>
      </c>
    </row>
    <row r="764" spans="1:9">
      <c r="A764" s="1206"/>
      <c r="B764" s="606"/>
      <c r="C764" s="1046"/>
      <c r="D764" s="1048"/>
      <c r="E764" s="1068"/>
      <c r="F764" s="1044"/>
      <c r="G764" s="1077">
        <f t="shared" si="11"/>
        <v>0</v>
      </c>
      <c r="H764" s="1042" t="str">
        <f>IF(C764="","",VLOOKUP(C764,Compte!$A$3:$B$346,2,0))</f>
        <v/>
      </c>
      <c r="I764" s="1043" t="str">
        <f>IF(D764="","",VLOOKUP(D764,Compte!$A$3:$B$346,2,0))</f>
        <v/>
      </c>
    </row>
    <row r="765" spans="1:9">
      <c r="A765" s="1206"/>
      <c r="B765" s="606"/>
      <c r="C765" s="1046"/>
      <c r="D765" s="1048"/>
      <c r="E765" s="1068"/>
      <c r="F765" s="1044"/>
      <c r="G765" s="1077">
        <f t="shared" si="11"/>
        <v>0</v>
      </c>
      <c r="H765" s="1042" t="str">
        <f>IF(C765="","",VLOOKUP(C765,Compte!$A$3:$B$346,2,0))</f>
        <v/>
      </c>
      <c r="I765" s="1043" t="str">
        <f>IF(D765="","",VLOOKUP(D765,Compte!$A$3:$B$346,2,0))</f>
        <v/>
      </c>
    </row>
    <row r="766" spans="1:9">
      <c r="A766" s="1206"/>
      <c r="B766" s="606"/>
      <c r="C766" s="1046"/>
      <c r="D766" s="1048"/>
      <c r="E766" s="1068"/>
      <c r="F766" s="1044"/>
      <c r="G766" s="1077">
        <f t="shared" si="11"/>
        <v>0</v>
      </c>
      <c r="H766" s="1042" t="str">
        <f>IF(C766="","",VLOOKUP(C766,Compte!$A$3:$B$346,2,0))</f>
        <v/>
      </c>
      <c r="I766" s="1043" t="str">
        <f>IF(D766="","",VLOOKUP(D766,Compte!$A$3:$B$346,2,0))</f>
        <v/>
      </c>
    </row>
    <row r="767" spans="1:9">
      <c r="A767" s="1206"/>
      <c r="B767" s="606"/>
      <c r="C767" s="1046"/>
      <c r="D767" s="1048"/>
      <c r="E767" s="1068"/>
      <c r="F767" s="1044"/>
      <c r="G767" s="1077">
        <f t="shared" si="11"/>
        <v>0</v>
      </c>
      <c r="H767" s="1042" t="str">
        <f>IF(C767="","",VLOOKUP(C767,Compte!$A$3:$B$346,2,0))</f>
        <v/>
      </c>
      <c r="I767" s="1043" t="str">
        <f>IF(D767="","",VLOOKUP(D767,Compte!$A$3:$B$346,2,0))</f>
        <v/>
      </c>
    </row>
    <row r="768" spans="1:9">
      <c r="A768" s="1206"/>
      <c r="B768" s="606"/>
      <c r="C768" s="1046"/>
      <c r="D768" s="1048"/>
      <c r="E768" s="1068"/>
      <c r="F768" s="1044"/>
      <c r="G768" s="1077">
        <f t="shared" si="11"/>
        <v>0</v>
      </c>
      <c r="H768" s="1042" t="str">
        <f>IF(C768="","",VLOOKUP(C768,Compte!$A$3:$B$346,2,0))</f>
        <v/>
      </c>
      <c r="I768" s="1043" t="str">
        <f>IF(D768="","",VLOOKUP(D768,Compte!$A$3:$B$346,2,0))</f>
        <v/>
      </c>
    </row>
    <row r="769" spans="1:9">
      <c r="A769" s="1206"/>
      <c r="B769" s="606"/>
      <c r="C769" s="1046"/>
      <c r="D769" s="1048"/>
      <c r="E769" s="1068"/>
      <c r="F769" s="1044"/>
      <c r="G769" s="1077">
        <f t="shared" si="11"/>
        <v>0</v>
      </c>
      <c r="H769" s="1042" t="str">
        <f>IF(C769="","",VLOOKUP(C769,Compte!$A$3:$B$346,2,0))</f>
        <v/>
      </c>
      <c r="I769" s="1043" t="str">
        <f>IF(D769="","",VLOOKUP(D769,Compte!$A$3:$B$346,2,0))</f>
        <v/>
      </c>
    </row>
    <row r="770" spans="1:9">
      <c r="A770" s="1206"/>
      <c r="B770" s="606"/>
      <c r="C770" s="1046"/>
      <c r="D770" s="1048"/>
      <c r="E770" s="1068"/>
      <c r="F770" s="1044"/>
      <c r="G770" s="1077">
        <f t="shared" si="11"/>
        <v>0</v>
      </c>
      <c r="H770" s="1042" t="str">
        <f>IF(C770="","",VLOOKUP(C770,Compte!$A$3:$B$346,2,0))</f>
        <v/>
      </c>
      <c r="I770" s="1043" t="str">
        <f>IF(D770="","",VLOOKUP(D770,Compte!$A$3:$B$346,2,0))</f>
        <v/>
      </c>
    </row>
    <row r="771" spans="1:9">
      <c r="A771" s="1206"/>
      <c r="B771" s="606"/>
      <c r="C771" s="1046"/>
      <c r="D771" s="1048"/>
      <c r="E771" s="1068"/>
      <c r="F771" s="1044"/>
      <c r="G771" s="1077">
        <f t="shared" si="11"/>
        <v>0</v>
      </c>
      <c r="H771" s="1042" t="str">
        <f>IF(C771="","",VLOOKUP(C771,Compte!$A$3:$B$346,2,0))</f>
        <v/>
      </c>
      <c r="I771" s="1043" t="str">
        <f>IF(D771="","",VLOOKUP(D771,Compte!$A$3:$B$346,2,0))</f>
        <v/>
      </c>
    </row>
    <row r="772" spans="1:9">
      <c r="A772" s="1206"/>
      <c r="B772" s="606"/>
      <c r="C772" s="1046"/>
      <c r="D772" s="1048"/>
      <c r="E772" s="1068"/>
      <c r="F772" s="1044"/>
      <c r="G772" s="1077">
        <f t="shared" si="11"/>
        <v>0</v>
      </c>
      <c r="H772" s="1042" t="str">
        <f>IF(C772="","",VLOOKUP(C772,Compte!$A$3:$B$346,2,0))</f>
        <v/>
      </c>
      <c r="I772" s="1043" t="str">
        <f>IF(D772="","",VLOOKUP(D772,Compte!$A$3:$B$346,2,0))</f>
        <v/>
      </c>
    </row>
    <row r="773" spans="1:9">
      <c r="A773" s="1206"/>
      <c r="B773" s="606"/>
      <c r="C773" s="1046"/>
      <c r="D773" s="1048"/>
      <c r="E773" s="1068"/>
      <c r="F773" s="1044"/>
      <c r="G773" s="1077">
        <f t="shared" si="11"/>
        <v>0</v>
      </c>
      <c r="H773" s="1042" t="str">
        <f>IF(C773="","",VLOOKUP(C773,Compte!$A$3:$B$346,2,0))</f>
        <v/>
      </c>
      <c r="I773" s="1043" t="str">
        <f>IF(D773="","",VLOOKUP(D773,Compte!$A$3:$B$346,2,0))</f>
        <v/>
      </c>
    </row>
    <row r="774" spans="1:9">
      <c r="A774" s="1206"/>
      <c r="B774" s="606"/>
      <c r="C774" s="1046"/>
      <c r="D774" s="1048"/>
      <c r="E774" s="1068"/>
      <c r="F774" s="1044"/>
      <c r="G774" s="1077">
        <f t="shared" si="11"/>
        <v>0</v>
      </c>
      <c r="H774" s="1042" t="str">
        <f>IF(C774="","",VLOOKUP(C774,Compte!$A$3:$B$346,2,0))</f>
        <v/>
      </c>
      <c r="I774" s="1043" t="str">
        <f>IF(D774="","",VLOOKUP(D774,Compte!$A$3:$B$346,2,0))</f>
        <v/>
      </c>
    </row>
    <row r="775" spans="1:9">
      <c r="A775" s="1206"/>
      <c r="B775" s="606"/>
      <c r="C775" s="1046"/>
      <c r="D775" s="1048"/>
      <c r="E775" s="1068"/>
      <c r="F775" s="1044"/>
      <c r="G775" s="1077">
        <f t="shared" si="11"/>
        <v>0</v>
      </c>
      <c r="H775" s="1042" t="str">
        <f>IF(C775="","",VLOOKUP(C775,Compte!$A$3:$B$346,2,0))</f>
        <v/>
      </c>
      <c r="I775" s="1043" t="str">
        <f>IF(D775="","",VLOOKUP(D775,Compte!$A$3:$B$346,2,0))</f>
        <v/>
      </c>
    </row>
    <row r="776" spans="1:9">
      <c r="A776" s="1206"/>
      <c r="B776" s="606"/>
      <c r="C776" s="1046"/>
      <c r="D776" s="1048"/>
      <c r="E776" s="1068"/>
      <c r="F776" s="1044"/>
      <c r="G776" s="1077">
        <f t="shared" ref="G776:G839" si="12">IF(C776="",F776,E776)</f>
        <v>0</v>
      </c>
      <c r="H776" s="1042" t="str">
        <f>IF(C776="","",VLOOKUP(C776,Compte!$A$3:$B$346,2,0))</f>
        <v/>
      </c>
      <c r="I776" s="1043" t="str">
        <f>IF(D776="","",VLOOKUP(D776,Compte!$A$3:$B$346,2,0))</f>
        <v/>
      </c>
    </row>
    <row r="777" spans="1:9">
      <c r="A777" s="1206"/>
      <c r="B777" s="606"/>
      <c r="C777" s="1046"/>
      <c r="D777" s="1048"/>
      <c r="E777" s="1068"/>
      <c r="F777" s="1044"/>
      <c r="G777" s="1077">
        <f t="shared" si="12"/>
        <v>0</v>
      </c>
      <c r="H777" s="1042" t="str">
        <f>IF(C777="","",VLOOKUP(C777,Compte!$A$3:$B$346,2,0))</f>
        <v/>
      </c>
      <c r="I777" s="1043" t="str">
        <f>IF(D777="","",VLOOKUP(D777,Compte!$A$3:$B$346,2,0))</f>
        <v/>
      </c>
    </row>
    <row r="778" spans="1:9">
      <c r="A778" s="1206"/>
      <c r="B778" s="606"/>
      <c r="C778" s="1046"/>
      <c r="D778" s="1048"/>
      <c r="E778" s="1068"/>
      <c r="F778" s="1044"/>
      <c r="G778" s="1077">
        <f t="shared" si="12"/>
        <v>0</v>
      </c>
      <c r="H778" s="1042" t="str">
        <f>IF(C778="","",VLOOKUP(C778,Compte!$A$3:$B$346,2,0))</f>
        <v/>
      </c>
      <c r="I778" s="1043" t="str">
        <f>IF(D778="","",VLOOKUP(D778,Compte!$A$3:$B$346,2,0))</f>
        <v/>
      </c>
    </row>
    <row r="779" spans="1:9">
      <c r="A779" s="1206"/>
      <c r="B779" s="606"/>
      <c r="C779" s="1046"/>
      <c r="D779" s="1048"/>
      <c r="E779" s="1068"/>
      <c r="F779" s="1044"/>
      <c r="G779" s="1077">
        <f t="shared" si="12"/>
        <v>0</v>
      </c>
      <c r="H779" s="1042" t="str">
        <f>IF(C779="","",VLOOKUP(C779,Compte!$A$3:$B$346,2,0))</f>
        <v/>
      </c>
      <c r="I779" s="1043" t="str">
        <f>IF(D779="","",VLOOKUP(D779,Compte!$A$3:$B$346,2,0))</f>
        <v/>
      </c>
    </row>
    <row r="780" spans="1:9">
      <c r="A780" s="1206"/>
      <c r="B780" s="606"/>
      <c r="C780" s="1046"/>
      <c r="D780" s="1048"/>
      <c r="E780" s="1068"/>
      <c r="F780" s="1044"/>
      <c r="G780" s="1077">
        <f t="shared" si="12"/>
        <v>0</v>
      </c>
      <c r="H780" s="1042" t="str">
        <f>IF(C780="","",VLOOKUP(C780,Compte!$A$3:$B$346,2,0))</f>
        <v/>
      </c>
      <c r="I780" s="1043" t="str">
        <f>IF(D780="","",VLOOKUP(D780,Compte!$A$3:$B$346,2,0))</f>
        <v/>
      </c>
    </row>
    <row r="781" spans="1:9">
      <c r="A781" s="1206"/>
      <c r="B781" s="606"/>
      <c r="C781" s="1046"/>
      <c r="D781" s="1048"/>
      <c r="E781" s="1068"/>
      <c r="F781" s="1044"/>
      <c r="G781" s="1077">
        <f t="shared" si="12"/>
        <v>0</v>
      </c>
      <c r="H781" s="1042" t="str">
        <f>IF(C781="","",VLOOKUP(C781,Compte!$A$3:$B$346,2,0))</f>
        <v/>
      </c>
      <c r="I781" s="1043" t="str">
        <f>IF(D781="","",VLOOKUP(D781,Compte!$A$3:$B$346,2,0))</f>
        <v/>
      </c>
    </row>
    <row r="782" spans="1:9">
      <c r="A782" s="1206"/>
      <c r="B782" s="606"/>
      <c r="C782" s="1046"/>
      <c r="D782" s="1048"/>
      <c r="E782" s="1068"/>
      <c r="F782" s="1044"/>
      <c r="G782" s="1077">
        <f t="shared" si="12"/>
        <v>0</v>
      </c>
      <c r="H782" s="1042" t="str">
        <f>IF(C782="","",VLOOKUP(C782,Compte!$A$3:$B$346,2,0))</f>
        <v/>
      </c>
      <c r="I782" s="1043" t="str">
        <f>IF(D782="","",VLOOKUP(D782,Compte!$A$3:$B$346,2,0))</f>
        <v/>
      </c>
    </row>
    <row r="783" spans="1:9">
      <c r="A783" s="1206"/>
      <c r="B783" s="606"/>
      <c r="C783" s="1046"/>
      <c r="D783" s="1048"/>
      <c r="E783" s="1068"/>
      <c r="F783" s="1044"/>
      <c r="G783" s="1077">
        <f t="shared" si="12"/>
        <v>0</v>
      </c>
      <c r="H783" s="1042" t="str">
        <f>IF(C783="","",VLOOKUP(C783,Compte!$A$3:$B$346,2,0))</f>
        <v/>
      </c>
      <c r="I783" s="1043" t="str">
        <f>IF(D783="","",VLOOKUP(D783,Compte!$A$3:$B$346,2,0))</f>
        <v/>
      </c>
    </row>
    <row r="784" spans="1:9">
      <c r="A784" s="1206"/>
      <c r="B784" s="606"/>
      <c r="C784" s="1046"/>
      <c r="D784" s="1048"/>
      <c r="E784" s="1068"/>
      <c r="F784" s="1044"/>
      <c r="G784" s="1077">
        <f t="shared" si="12"/>
        <v>0</v>
      </c>
      <c r="H784" s="1042" t="str">
        <f>IF(C784="","",VLOOKUP(C784,Compte!$A$3:$B$346,2,0))</f>
        <v/>
      </c>
      <c r="I784" s="1043" t="str">
        <f>IF(D784="","",VLOOKUP(D784,Compte!$A$3:$B$346,2,0))</f>
        <v/>
      </c>
    </row>
    <row r="785" spans="1:9">
      <c r="A785" s="1206"/>
      <c r="B785" s="606"/>
      <c r="C785" s="1046"/>
      <c r="D785" s="1048"/>
      <c r="E785" s="1068"/>
      <c r="F785" s="1044"/>
      <c r="G785" s="1077">
        <f t="shared" si="12"/>
        <v>0</v>
      </c>
      <c r="H785" s="1042" t="str">
        <f>IF(C785="","",VLOOKUP(C785,Compte!$A$3:$B$346,2,0))</f>
        <v/>
      </c>
      <c r="I785" s="1043" t="str">
        <f>IF(D785="","",VLOOKUP(D785,Compte!$A$3:$B$346,2,0))</f>
        <v/>
      </c>
    </row>
    <row r="786" spans="1:9">
      <c r="A786" s="1206"/>
      <c r="B786" s="606"/>
      <c r="C786" s="1046"/>
      <c r="D786" s="1048"/>
      <c r="E786" s="1068"/>
      <c r="F786" s="1044"/>
      <c r="G786" s="1077">
        <f t="shared" si="12"/>
        <v>0</v>
      </c>
      <c r="H786" s="1042" t="str">
        <f>IF(C786="","",VLOOKUP(C786,Compte!$A$3:$B$346,2,0))</f>
        <v/>
      </c>
      <c r="I786" s="1043" t="str">
        <f>IF(D786="","",VLOOKUP(D786,Compte!$A$3:$B$346,2,0))</f>
        <v/>
      </c>
    </row>
    <row r="787" spans="1:9">
      <c r="A787" s="1206"/>
      <c r="B787" s="606"/>
      <c r="C787" s="1046"/>
      <c r="D787" s="1048"/>
      <c r="E787" s="1068"/>
      <c r="F787" s="1044"/>
      <c r="G787" s="1077">
        <f t="shared" si="12"/>
        <v>0</v>
      </c>
      <c r="H787" s="1042" t="str">
        <f>IF(C787="","",VLOOKUP(C787,Compte!$A$3:$B$346,2,0))</f>
        <v/>
      </c>
      <c r="I787" s="1043" t="str">
        <f>IF(D787="","",VLOOKUP(D787,Compte!$A$3:$B$346,2,0))</f>
        <v/>
      </c>
    </row>
    <row r="788" spans="1:9">
      <c r="A788" s="1206"/>
      <c r="B788" s="606"/>
      <c r="C788" s="1046"/>
      <c r="D788" s="1048"/>
      <c r="E788" s="1068"/>
      <c r="F788" s="1044"/>
      <c r="G788" s="1077">
        <f t="shared" si="12"/>
        <v>0</v>
      </c>
      <c r="H788" s="1042" t="str">
        <f>IF(C788="","",VLOOKUP(C788,Compte!$A$3:$B$346,2,0))</f>
        <v/>
      </c>
      <c r="I788" s="1043" t="str">
        <f>IF(D788="","",VLOOKUP(D788,Compte!$A$3:$B$346,2,0))</f>
        <v/>
      </c>
    </row>
    <row r="789" spans="1:9">
      <c r="A789" s="1206"/>
      <c r="B789" s="606"/>
      <c r="C789" s="1046"/>
      <c r="D789" s="1048"/>
      <c r="E789" s="1068"/>
      <c r="F789" s="1044"/>
      <c r="G789" s="1077">
        <f t="shared" si="12"/>
        <v>0</v>
      </c>
      <c r="H789" s="1042" t="str">
        <f>IF(C789="","",VLOOKUP(C789,Compte!$A$3:$B$346,2,0))</f>
        <v/>
      </c>
      <c r="I789" s="1043" t="str">
        <f>IF(D789="","",VLOOKUP(D789,Compte!$A$3:$B$346,2,0))</f>
        <v/>
      </c>
    </row>
    <row r="790" spans="1:9">
      <c r="A790" s="1206"/>
      <c r="B790" s="606"/>
      <c r="C790" s="1046"/>
      <c r="D790" s="1048"/>
      <c r="E790" s="1068"/>
      <c r="F790" s="1044"/>
      <c r="G790" s="1077">
        <f t="shared" si="12"/>
        <v>0</v>
      </c>
      <c r="H790" s="1042" t="str">
        <f>IF(C790="","",VLOOKUP(C790,Compte!$A$3:$B$346,2,0))</f>
        <v/>
      </c>
      <c r="I790" s="1043" t="str">
        <f>IF(D790="","",VLOOKUP(D790,Compte!$A$3:$B$346,2,0))</f>
        <v/>
      </c>
    </row>
    <row r="791" spans="1:9">
      <c r="A791" s="1206"/>
      <c r="B791" s="606"/>
      <c r="C791" s="1046"/>
      <c r="D791" s="1048"/>
      <c r="E791" s="1068"/>
      <c r="F791" s="1044"/>
      <c r="G791" s="1077">
        <f t="shared" si="12"/>
        <v>0</v>
      </c>
      <c r="H791" s="1042" t="str">
        <f>IF(C791="","",VLOOKUP(C791,Compte!$A$3:$B$346,2,0))</f>
        <v/>
      </c>
      <c r="I791" s="1043" t="str">
        <f>IF(D791="","",VLOOKUP(D791,Compte!$A$3:$B$346,2,0))</f>
        <v/>
      </c>
    </row>
    <row r="792" spans="1:9">
      <c r="A792" s="1206"/>
      <c r="B792" s="606"/>
      <c r="C792" s="1046"/>
      <c r="D792" s="1048"/>
      <c r="E792" s="1068"/>
      <c r="F792" s="1044"/>
      <c r="G792" s="1077">
        <f t="shared" si="12"/>
        <v>0</v>
      </c>
      <c r="H792" s="1042" t="str">
        <f>IF(C792="","",VLOOKUP(C792,Compte!$A$3:$B$346,2,0))</f>
        <v/>
      </c>
      <c r="I792" s="1043" t="str">
        <f>IF(D792="","",VLOOKUP(D792,Compte!$A$3:$B$346,2,0))</f>
        <v/>
      </c>
    </row>
    <row r="793" spans="1:9">
      <c r="A793" s="1206"/>
      <c r="B793" s="606"/>
      <c r="C793" s="1046"/>
      <c r="D793" s="1048"/>
      <c r="E793" s="1068"/>
      <c r="F793" s="1044"/>
      <c r="G793" s="1077">
        <f t="shared" si="12"/>
        <v>0</v>
      </c>
      <c r="H793" s="1042" t="str">
        <f>IF(C793="","",VLOOKUP(C793,Compte!$A$3:$B$346,2,0))</f>
        <v/>
      </c>
      <c r="I793" s="1043" t="str">
        <f>IF(D793="","",VLOOKUP(D793,Compte!$A$3:$B$346,2,0))</f>
        <v/>
      </c>
    </row>
    <row r="794" spans="1:9">
      <c r="A794" s="1206"/>
      <c r="B794" s="606"/>
      <c r="C794" s="1046"/>
      <c r="D794" s="1048"/>
      <c r="E794" s="1068"/>
      <c r="F794" s="1044"/>
      <c r="G794" s="1077">
        <f t="shared" si="12"/>
        <v>0</v>
      </c>
      <c r="H794" s="1042" t="str">
        <f>IF(C794="","",VLOOKUP(C794,Compte!$A$3:$B$346,2,0))</f>
        <v/>
      </c>
      <c r="I794" s="1043" t="str">
        <f>IF(D794="","",VLOOKUP(D794,Compte!$A$3:$B$346,2,0))</f>
        <v/>
      </c>
    </row>
    <row r="795" spans="1:9">
      <c r="A795" s="1206"/>
      <c r="B795" s="606"/>
      <c r="C795" s="1046"/>
      <c r="D795" s="1048"/>
      <c r="E795" s="1068"/>
      <c r="F795" s="1044"/>
      <c r="G795" s="1077">
        <f t="shared" si="12"/>
        <v>0</v>
      </c>
      <c r="H795" s="1042" t="str">
        <f>IF(C795="","",VLOOKUP(C795,Compte!$A$3:$B$346,2,0))</f>
        <v/>
      </c>
      <c r="I795" s="1043" t="str">
        <f>IF(D795="","",VLOOKUP(D795,Compte!$A$3:$B$346,2,0))</f>
        <v/>
      </c>
    </row>
    <row r="796" spans="1:9">
      <c r="A796" s="1206"/>
      <c r="B796" s="606"/>
      <c r="C796" s="1046"/>
      <c r="D796" s="1048"/>
      <c r="E796" s="1068"/>
      <c r="F796" s="1044"/>
      <c r="G796" s="1077">
        <f t="shared" si="12"/>
        <v>0</v>
      </c>
      <c r="H796" s="1042" t="str">
        <f>IF(C796="","",VLOOKUP(C796,Compte!$A$3:$B$346,2,0))</f>
        <v/>
      </c>
      <c r="I796" s="1043" t="str">
        <f>IF(D796="","",VLOOKUP(D796,Compte!$A$3:$B$346,2,0))</f>
        <v/>
      </c>
    </row>
    <row r="797" spans="1:9">
      <c r="A797" s="1206"/>
      <c r="B797" s="606"/>
      <c r="C797" s="1046"/>
      <c r="D797" s="1048"/>
      <c r="E797" s="1068"/>
      <c r="F797" s="1044"/>
      <c r="G797" s="1077">
        <f t="shared" si="12"/>
        <v>0</v>
      </c>
      <c r="H797" s="1042" t="str">
        <f>IF(C797="","",VLOOKUP(C797,Compte!$A$3:$B$346,2,0))</f>
        <v/>
      </c>
      <c r="I797" s="1043" t="str">
        <f>IF(D797="","",VLOOKUP(D797,Compte!$A$3:$B$346,2,0))</f>
        <v/>
      </c>
    </row>
    <row r="798" spans="1:9">
      <c r="A798" s="1206"/>
      <c r="B798" s="606"/>
      <c r="C798" s="1046"/>
      <c r="D798" s="1048"/>
      <c r="E798" s="1068"/>
      <c r="F798" s="1044"/>
      <c r="G798" s="1077">
        <f t="shared" si="12"/>
        <v>0</v>
      </c>
      <c r="H798" s="1042" t="str">
        <f>IF(C798="","",VLOOKUP(C798,Compte!$A$3:$B$346,2,0))</f>
        <v/>
      </c>
      <c r="I798" s="1043" t="str">
        <f>IF(D798="","",VLOOKUP(D798,Compte!$A$3:$B$346,2,0))</f>
        <v/>
      </c>
    </row>
    <row r="799" spans="1:9">
      <c r="A799" s="1206"/>
      <c r="B799" s="606"/>
      <c r="C799" s="1046"/>
      <c r="D799" s="1048"/>
      <c r="E799" s="1068"/>
      <c r="F799" s="1044"/>
      <c r="G799" s="1077">
        <f t="shared" si="12"/>
        <v>0</v>
      </c>
      <c r="H799" s="1042" t="str">
        <f>IF(C799="","",VLOOKUP(C799,Compte!$A$3:$B$346,2,0))</f>
        <v/>
      </c>
      <c r="I799" s="1043" t="str">
        <f>IF(D799="","",VLOOKUP(D799,Compte!$A$3:$B$346,2,0))</f>
        <v/>
      </c>
    </row>
    <row r="800" spans="1:9">
      <c r="A800" s="1206"/>
      <c r="B800" s="606"/>
      <c r="C800" s="1046"/>
      <c r="D800" s="1048"/>
      <c r="E800" s="1068"/>
      <c r="F800" s="1044"/>
      <c r="G800" s="1077">
        <f t="shared" si="12"/>
        <v>0</v>
      </c>
      <c r="H800" s="1042" t="str">
        <f>IF(C800="","",VLOOKUP(C800,Compte!$A$3:$B$346,2,0))</f>
        <v/>
      </c>
      <c r="I800" s="1043" t="str">
        <f>IF(D800="","",VLOOKUP(D800,Compte!$A$3:$B$346,2,0))</f>
        <v/>
      </c>
    </row>
    <row r="801" spans="1:9">
      <c r="A801" s="1206"/>
      <c r="B801" s="606"/>
      <c r="C801" s="1046"/>
      <c r="D801" s="1048"/>
      <c r="E801" s="1068"/>
      <c r="F801" s="1044"/>
      <c r="G801" s="1077">
        <f t="shared" si="12"/>
        <v>0</v>
      </c>
      <c r="H801" s="1042" t="str">
        <f>IF(C801="","",VLOOKUP(C801,Compte!$A$3:$B$346,2,0))</f>
        <v/>
      </c>
      <c r="I801" s="1043" t="str">
        <f>IF(D801="","",VLOOKUP(D801,Compte!$A$3:$B$346,2,0))</f>
        <v/>
      </c>
    </row>
    <row r="802" spans="1:9">
      <c r="A802" s="1206"/>
      <c r="B802" s="606"/>
      <c r="C802" s="1046"/>
      <c r="D802" s="1048"/>
      <c r="E802" s="1068"/>
      <c r="F802" s="1044"/>
      <c r="G802" s="1077">
        <f t="shared" si="12"/>
        <v>0</v>
      </c>
      <c r="H802" s="1042" t="str">
        <f>IF(C802="","",VLOOKUP(C802,Compte!$A$3:$B$346,2,0))</f>
        <v/>
      </c>
      <c r="I802" s="1043" t="str">
        <f>IF(D802="","",VLOOKUP(D802,Compte!$A$3:$B$346,2,0))</f>
        <v/>
      </c>
    </row>
    <row r="803" spans="1:9">
      <c r="A803" s="1206"/>
      <c r="B803" s="606"/>
      <c r="C803" s="1046"/>
      <c r="D803" s="1048"/>
      <c r="E803" s="1068"/>
      <c r="F803" s="1044"/>
      <c r="G803" s="1077">
        <f t="shared" si="12"/>
        <v>0</v>
      </c>
      <c r="H803" s="1042" t="str">
        <f>IF(C803="","",VLOOKUP(C803,Compte!$A$3:$B$346,2,0))</f>
        <v/>
      </c>
      <c r="I803" s="1043" t="str">
        <f>IF(D803="","",VLOOKUP(D803,Compte!$A$3:$B$346,2,0))</f>
        <v/>
      </c>
    </row>
    <row r="804" spans="1:9">
      <c r="A804" s="1206"/>
      <c r="B804" s="606"/>
      <c r="C804" s="1046"/>
      <c r="D804" s="1048"/>
      <c r="E804" s="1068"/>
      <c r="F804" s="1044"/>
      <c r="G804" s="1077">
        <f t="shared" si="12"/>
        <v>0</v>
      </c>
      <c r="H804" s="1042" t="str">
        <f>IF(C804="","",VLOOKUP(C804,Compte!$A$3:$B$346,2,0))</f>
        <v/>
      </c>
      <c r="I804" s="1043" t="str">
        <f>IF(D804="","",VLOOKUP(D804,Compte!$A$3:$B$346,2,0))</f>
        <v/>
      </c>
    </row>
    <row r="805" spans="1:9">
      <c r="A805" s="1206"/>
      <c r="B805" s="606"/>
      <c r="C805" s="1046"/>
      <c r="D805" s="1048"/>
      <c r="E805" s="1068"/>
      <c r="F805" s="1044"/>
      <c r="G805" s="1077">
        <f t="shared" si="12"/>
        <v>0</v>
      </c>
      <c r="H805" s="1042" t="str">
        <f>IF(C805="","",VLOOKUP(C805,Compte!$A$3:$B$346,2,0))</f>
        <v/>
      </c>
      <c r="I805" s="1043" t="str">
        <f>IF(D805="","",VLOOKUP(D805,Compte!$A$3:$B$346,2,0))</f>
        <v/>
      </c>
    </row>
    <row r="806" spans="1:9">
      <c r="A806" s="1206"/>
      <c r="B806" s="606"/>
      <c r="C806" s="1046"/>
      <c r="D806" s="1048"/>
      <c r="E806" s="1068"/>
      <c r="F806" s="1044"/>
      <c r="G806" s="1077">
        <f t="shared" si="12"/>
        <v>0</v>
      </c>
      <c r="H806" s="1042" t="str">
        <f>IF(C806="","",VLOOKUP(C806,Compte!$A$3:$B$346,2,0))</f>
        <v/>
      </c>
      <c r="I806" s="1043" t="str">
        <f>IF(D806="","",VLOOKUP(D806,Compte!$A$3:$B$346,2,0))</f>
        <v/>
      </c>
    </row>
    <row r="807" spans="1:9">
      <c r="A807" s="1206"/>
      <c r="B807" s="606"/>
      <c r="C807" s="1046"/>
      <c r="D807" s="1048"/>
      <c r="E807" s="1068"/>
      <c r="F807" s="1044"/>
      <c r="G807" s="1077">
        <f t="shared" si="12"/>
        <v>0</v>
      </c>
      <c r="H807" s="1042" t="str">
        <f>IF(C807="","",VLOOKUP(C807,Compte!$A$3:$B$346,2,0))</f>
        <v/>
      </c>
      <c r="I807" s="1043" t="str">
        <f>IF(D807="","",VLOOKUP(D807,Compte!$A$3:$B$346,2,0))</f>
        <v/>
      </c>
    </row>
    <row r="808" spans="1:9">
      <c r="A808" s="1206"/>
      <c r="B808" s="606"/>
      <c r="C808" s="1046"/>
      <c r="D808" s="1048"/>
      <c r="E808" s="1068"/>
      <c r="F808" s="1044"/>
      <c r="G808" s="1077">
        <f t="shared" si="12"/>
        <v>0</v>
      </c>
      <c r="H808" s="1042" t="str">
        <f>IF(C808="","",VLOOKUP(C808,Compte!$A$3:$B$346,2,0))</f>
        <v/>
      </c>
      <c r="I808" s="1043" t="str">
        <f>IF(D808="","",VLOOKUP(D808,Compte!$A$3:$B$346,2,0))</f>
        <v/>
      </c>
    </row>
    <row r="809" spans="1:9">
      <c r="A809" s="1206"/>
      <c r="B809" s="606"/>
      <c r="C809" s="1046"/>
      <c r="D809" s="1048"/>
      <c r="E809" s="1068"/>
      <c r="F809" s="1044"/>
      <c r="G809" s="1077">
        <f t="shared" si="12"/>
        <v>0</v>
      </c>
      <c r="H809" s="1042" t="str">
        <f>IF(C809="","",VLOOKUP(C809,Compte!$A$3:$B$346,2,0))</f>
        <v/>
      </c>
      <c r="I809" s="1043" t="str">
        <f>IF(D809="","",VLOOKUP(D809,Compte!$A$3:$B$346,2,0))</f>
        <v/>
      </c>
    </row>
    <row r="810" spans="1:9">
      <c r="A810" s="1206"/>
      <c r="B810" s="606"/>
      <c r="C810" s="1046"/>
      <c r="D810" s="1048"/>
      <c r="E810" s="1068"/>
      <c r="F810" s="1044"/>
      <c r="G810" s="1077">
        <f t="shared" si="12"/>
        <v>0</v>
      </c>
      <c r="H810" s="1042" t="str">
        <f>IF(C810="","",VLOOKUP(C810,Compte!$A$3:$B$346,2,0))</f>
        <v/>
      </c>
      <c r="I810" s="1043" t="str">
        <f>IF(D810="","",VLOOKUP(D810,Compte!$A$3:$B$346,2,0))</f>
        <v/>
      </c>
    </row>
    <row r="811" spans="1:9">
      <c r="A811" s="1206"/>
      <c r="B811" s="606"/>
      <c r="C811" s="1046"/>
      <c r="D811" s="1048"/>
      <c r="E811" s="1068"/>
      <c r="F811" s="1044"/>
      <c r="G811" s="1077">
        <f t="shared" si="12"/>
        <v>0</v>
      </c>
      <c r="H811" s="1042" t="str">
        <f>IF(C811="","",VLOOKUP(C811,Compte!$A$3:$B$346,2,0))</f>
        <v/>
      </c>
      <c r="I811" s="1043" t="str">
        <f>IF(D811="","",VLOOKUP(D811,Compte!$A$3:$B$346,2,0))</f>
        <v/>
      </c>
    </row>
    <row r="812" spans="1:9">
      <c r="A812" s="1206"/>
      <c r="B812" s="606"/>
      <c r="C812" s="1046"/>
      <c r="D812" s="1048"/>
      <c r="E812" s="1068"/>
      <c r="F812" s="1044"/>
      <c r="G812" s="1077">
        <f t="shared" si="12"/>
        <v>0</v>
      </c>
      <c r="H812" s="1042" t="str">
        <f>IF(C812="","",VLOOKUP(C812,Compte!$A$3:$B$346,2,0))</f>
        <v/>
      </c>
      <c r="I812" s="1043" t="str">
        <f>IF(D812="","",VLOOKUP(D812,Compte!$A$3:$B$346,2,0))</f>
        <v/>
      </c>
    </row>
    <row r="813" spans="1:9">
      <c r="A813" s="1206"/>
      <c r="B813" s="606"/>
      <c r="C813" s="1046"/>
      <c r="D813" s="1048"/>
      <c r="E813" s="1068"/>
      <c r="F813" s="1044"/>
      <c r="G813" s="1077">
        <f t="shared" si="12"/>
        <v>0</v>
      </c>
      <c r="H813" s="1042" t="str">
        <f>IF(C813="","",VLOOKUP(C813,Compte!$A$3:$B$346,2,0))</f>
        <v/>
      </c>
      <c r="I813" s="1043" t="str">
        <f>IF(D813="","",VLOOKUP(D813,Compte!$A$3:$B$346,2,0))</f>
        <v/>
      </c>
    </row>
    <row r="814" spans="1:9">
      <c r="A814" s="1206"/>
      <c r="B814" s="606"/>
      <c r="C814" s="1046"/>
      <c r="D814" s="1048"/>
      <c r="E814" s="1068"/>
      <c r="F814" s="1044"/>
      <c r="G814" s="1077">
        <f t="shared" si="12"/>
        <v>0</v>
      </c>
      <c r="H814" s="1042" t="str">
        <f>IF(C814="","",VLOOKUP(C814,Compte!$A$3:$B$346,2,0))</f>
        <v/>
      </c>
      <c r="I814" s="1043" t="str">
        <f>IF(D814="","",VLOOKUP(D814,Compte!$A$3:$B$346,2,0))</f>
        <v/>
      </c>
    </row>
    <row r="815" spans="1:9">
      <c r="A815" s="1206"/>
      <c r="B815" s="606"/>
      <c r="C815" s="1046"/>
      <c r="D815" s="1048"/>
      <c r="E815" s="1068"/>
      <c r="F815" s="1044"/>
      <c r="G815" s="1077">
        <f t="shared" si="12"/>
        <v>0</v>
      </c>
      <c r="H815" s="1042" t="str">
        <f>IF(C815="","",VLOOKUP(C815,Compte!$A$3:$B$346,2,0))</f>
        <v/>
      </c>
      <c r="I815" s="1043" t="str">
        <f>IF(D815="","",VLOOKUP(D815,Compte!$A$3:$B$346,2,0))</f>
        <v/>
      </c>
    </row>
    <row r="816" spans="1:9">
      <c r="A816" s="1206"/>
      <c r="B816" s="606"/>
      <c r="C816" s="1046"/>
      <c r="D816" s="1048"/>
      <c r="E816" s="1068"/>
      <c r="F816" s="1044"/>
      <c r="G816" s="1077">
        <f t="shared" si="12"/>
        <v>0</v>
      </c>
      <c r="H816" s="1042" t="str">
        <f>IF(C816="","",VLOOKUP(C816,Compte!$A$3:$B$346,2,0))</f>
        <v/>
      </c>
      <c r="I816" s="1043" t="str">
        <f>IF(D816="","",VLOOKUP(D816,Compte!$A$3:$B$346,2,0))</f>
        <v/>
      </c>
    </row>
    <row r="817" spans="1:9">
      <c r="A817" s="1206"/>
      <c r="B817" s="606"/>
      <c r="C817" s="1046"/>
      <c r="D817" s="1048"/>
      <c r="E817" s="1068"/>
      <c r="F817" s="1044"/>
      <c r="G817" s="1077">
        <f t="shared" si="12"/>
        <v>0</v>
      </c>
      <c r="H817" s="1042" t="str">
        <f>IF(C817="","",VLOOKUP(C817,Compte!$A$3:$B$346,2,0))</f>
        <v/>
      </c>
      <c r="I817" s="1043" t="str">
        <f>IF(D817="","",VLOOKUP(D817,Compte!$A$3:$B$346,2,0))</f>
        <v/>
      </c>
    </row>
    <row r="818" spans="1:9">
      <c r="A818" s="1206"/>
      <c r="B818" s="606"/>
      <c r="C818" s="1046"/>
      <c r="D818" s="1048"/>
      <c r="E818" s="1068"/>
      <c r="F818" s="1044"/>
      <c r="G818" s="1077">
        <f t="shared" si="12"/>
        <v>0</v>
      </c>
      <c r="H818" s="1042" t="str">
        <f>IF(C818="","",VLOOKUP(C818,Compte!$A$3:$B$346,2,0))</f>
        <v/>
      </c>
      <c r="I818" s="1043" t="str">
        <f>IF(D818="","",VLOOKUP(D818,Compte!$A$3:$B$346,2,0))</f>
        <v/>
      </c>
    </row>
    <row r="819" spans="1:9">
      <c r="A819" s="1206"/>
      <c r="B819" s="606"/>
      <c r="C819" s="1046"/>
      <c r="D819" s="1048"/>
      <c r="E819" s="1068"/>
      <c r="F819" s="1044"/>
      <c r="G819" s="1077">
        <f t="shared" si="12"/>
        <v>0</v>
      </c>
      <c r="H819" s="1042" t="str">
        <f>IF(C819="","",VLOOKUP(C819,Compte!$A$3:$B$346,2,0))</f>
        <v/>
      </c>
      <c r="I819" s="1043" t="str">
        <f>IF(D819="","",VLOOKUP(D819,Compte!$A$3:$B$346,2,0))</f>
        <v/>
      </c>
    </row>
    <row r="820" spans="1:9">
      <c r="A820" s="1206"/>
      <c r="B820" s="606"/>
      <c r="C820" s="1046"/>
      <c r="D820" s="1048"/>
      <c r="E820" s="1068"/>
      <c r="F820" s="1044"/>
      <c r="G820" s="1077">
        <f t="shared" si="12"/>
        <v>0</v>
      </c>
      <c r="H820" s="1042" t="str">
        <f>IF(C820="","",VLOOKUP(C820,Compte!$A$3:$B$346,2,0))</f>
        <v/>
      </c>
      <c r="I820" s="1043" t="str">
        <f>IF(D820="","",VLOOKUP(D820,Compte!$A$3:$B$346,2,0))</f>
        <v/>
      </c>
    </row>
    <row r="821" spans="1:9">
      <c r="A821" s="1206"/>
      <c r="B821" s="606"/>
      <c r="C821" s="1046"/>
      <c r="D821" s="1048"/>
      <c r="E821" s="1068"/>
      <c r="F821" s="1044"/>
      <c r="G821" s="1077">
        <f t="shared" si="12"/>
        <v>0</v>
      </c>
      <c r="H821" s="1042" t="str">
        <f>IF(C821="","",VLOOKUP(C821,Compte!$A$3:$B$346,2,0))</f>
        <v/>
      </c>
      <c r="I821" s="1043" t="str">
        <f>IF(D821="","",VLOOKUP(D821,Compte!$A$3:$B$346,2,0))</f>
        <v/>
      </c>
    </row>
    <row r="822" spans="1:9">
      <c r="A822" s="1206"/>
      <c r="B822" s="606"/>
      <c r="C822" s="1046"/>
      <c r="D822" s="1048"/>
      <c r="E822" s="1068"/>
      <c r="F822" s="1044"/>
      <c r="G822" s="1077">
        <f t="shared" si="12"/>
        <v>0</v>
      </c>
      <c r="H822" s="1042" t="str">
        <f>IF(C822="","",VLOOKUP(C822,Compte!$A$3:$B$346,2,0))</f>
        <v/>
      </c>
      <c r="I822" s="1043" t="str">
        <f>IF(D822="","",VLOOKUP(D822,Compte!$A$3:$B$346,2,0))</f>
        <v/>
      </c>
    </row>
    <row r="823" spans="1:9">
      <c r="A823" s="1206"/>
      <c r="B823" s="606"/>
      <c r="C823" s="1046"/>
      <c r="D823" s="1048"/>
      <c r="E823" s="1068"/>
      <c r="F823" s="1044"/>
      <c r="G823" s="1077">
        <f t="shared" si="12"/>
        <v>0</v>
      </c>
      <c r="H823" s="1042" t="str">
        <f>IF(C823="","",VLOOKUP(C823,Compte!$A$3:$B$346,2,0))</f>
        <v/>
      </c>
      <c r="I823" s="1043" t="str">
        <f>IF(D823="","",VLOOKUP(D823,Compte!$A$3:$B$346,2,0))</f>
        <v/>
      </c>
    </row>
    <row r="824" spans="1:9">
      <c r="A824" s="1206"/>
      <c r="B824" s="606"/>
      <c r="C824" s="1046"/>
      <c r="D824" s="1048"/>
      <c r="E824" s="1068"/>
      <c r="F824" s="1044"/>
      <c r="G824" s="1077">
        <f t="shared" si="12"/>
        <v>0</v>
      </c>
      <c r="H824" s="1042" t="str">
        <f>IF(C824="","",VLOOKUP(C824,Compte!$A$3:$B$346,2,0))</f>
        <v/>
      </c>
      <c r="I824" s="1043" t="str">
        <f>IF(D824="","",VLOOKUP(D824,Compte!$A$3:$B$346,2,0))</f>
        <v/>
      </c>
    </row>
    <row r="825" spans="1:9">
      <c r="A825" s="1206"/>
      <c r="B825" s="606"/>
      <c r="C825" s="1046"/>
      <c r="D825" s="1048"/>
      <c r="E825" s="1068"/>
      <c r="F825" s="1044"/>
      <c r="G825" s="1077">
        <f t="shared" si="12"/>
        <v>0</v>
      </c>
      <c r="H825" s="1042" t="str">
        <f>IF(C825="","",VLOOKUP(C825,Compte!$A$3:$B$346,2,0))</f>
        <v/>
      </c>
      <c r="I825" s="1043" t="str">
        <f>IF(D825="","",VLOOKUP(D825,Compte!$A$3:$B$346,2,0))</f>
        <v/>
      </c>
    </row>
    <row r="826" spans="1:9">
      <c r="A826" s="1206"/>
      <c r="B826" s="606"/>
      <c r="C826" s="1046"/>
      <c r="D826" s="1048"/>
      <c r="E826" s="1068"/>
      <c r="F826" s="1044"/>
      <c r="G826" s="1077">
        <f t="shared" si="12"/>
        <v>0</v>
      </c>
      <c r="H826" s="1042" t="str">
        <f>IF(C826="","",VLOOKUP(C826,Compte!$A$3:$B$346,2,0))</f>
        <v/>
      </c>
      <c r="I826" s="1043" t="str">
        <f>IF(D826="","",VLOOKUP(D826,Compte!$A$3:$B$346,2,0))</f>
        <v/>
      </c>
    </row>
    <row r="827" spans="1:9">
      <c r="A827" s="1206"/>
      <c r="B827" s="606"/>
      <c r="C827" s="1046"/>
      <c r="D827" s="1048"/>
      <c r="E827" s="1068"/>
      <c r="F827" s="1044"/>
      <c r="G827" s="1077">
        <f t="shared" si="12"/>
        <v>0</v>
      </c>
      <c r="H827" s="1042" t="str">
        <f>IF(C827="","",VLOOKUP(C827,Compte!$A$3:$B$346,2,0))</f>
        <v/>
      </c>
      <c r="I827" s="1043" t="str">
        <f>IF(D827="","",VLOOKUP(D827,Compte!$A$3:$B$346,2,0))</f>
        <v/>
      </c>
    </row>
    <row r="828" spans="1:9">
      <c r="A828" s="1206"/>
      <c r="B828" s="606"/>
      <c r="C828" s="1046"/>
      <c r="D828" s="1048"/>
      <c r="E828" s="1068"/>
      <c r="F828" s="1044"/>
      <c r="G828" s="1077">
        <f t="shared" si="12"/>
        <v>0</v>
      </c>
      <c r="H828" s="1042" t="str">
        <f>IF(C828="","",VLOOKUP(C828,Compte!$A$3:$B$346,2,0))</f>
        <v/>
      </c>
      <c r="I828" s="1043" t="str">
        <f>IF(D828="","",VLOOKUP(D828,Compte!$A$3:$B$346,2,0))</f>
        <v/>
      </c>
    </row>
    <row r="829" spans="1:9">
      <c r="A829" s="1206"/>
      <c r="B829" s="606"/>
      <c r="C829" s="1046"/>
      <c r="D829" s="1048"/>
      <c r="E829" s="1068"/>
      <c r="F829" s="1044"/>
      <c r="G829" s="1077">
        <f t="shared" si="12"/>
        <v>0</v>
      </c>
      <c r="H829" s="1042" t="str">
        <f>IF(C829="","",VLOOKUP(C829,Compte!$A$3:$B$346,2,0))</f>
        <v/>
      </c>
      <c r="I829" s="1043" t="str">
        <f>IF(D829="","",VLOOKUP(D829,Compte!$A$3:$B$346,2,0))</f>
        <v/>
      </c>
    </row>
    <row r="830" spans="1:9">
      <c r="A830" s="1206"/>
      <c r="B830" s="606"/>
      <c r="C830" s="1046"/>
      <c r="D830" s="1048"/>
      <c r="E830" s="1068"/>
      <c r="F830" s="1044"/>
      <c r="G830" s="1077">
        <f t="shared" si="12"/>
        <v>0</v>
      </c>
      <c r="H830" s="1042" t="str">
        <f>IF(C830="","",VLOOKUP(C830,Compte!$A$3:$B$346,2,0))</f>
        <v/>
      </c>
      <c r="I830" s="1043" t="str">
        <f>IF(D830="","",VLOOKUP(D830,Compte!$A$3:$B$346,2,0))</f>
        <v/>
      </c>
    </row>
    <row r="831" spans="1:9">
      <c r="A831" s="1206"/>
      <c r="B831" s="606"/>
      <c r="C831" s="1046"/>
      <c r="D831" s="1048"/>
      <c r="E831" s="1068"/>
      <c r="F831" s="1044"/>
      <c r="G831" s="1077">
        <f t="shared" si="12"/>
        <v>0</v>
      </c>
      <c r="H831" s="1042" t="str">
        <f>IF(C831="","",VLOOKUP(C831,Compte!$A$3:$B$346,2,0))</f>
        <v/>
      </c>
      <c r="I831" s="1043" t="str">
        <f>IF(D831="","",VLOOKUP(D831,Compte!$A$3:$B$346,2,0))</f>
        <v/>
      </c>
    </row>
    <row r="832" spans="1:9">
      <c r="A832" s="1206"/>
      <c r="B832" s="606"/>
      <c r="C832" s="1046"/>
      <c r="D832" s="1048"/>
      <c r="E832" s="1068"/>
      <c r="F832" s="1044"/>
      <c r="G832" s="1077">
        <f t="shared" si="12"/>
        <v>0</v>
      </c>
      <c r="H832" s="1042" t="str">
        <f>IF(C832="","",VLOOKUP(C832,Compte!$A$3:$B$346,2,0))</f>
        <v/>
      </c>
      <c r="I832" s="1043" t="str">
        <f>IF(D832="","",VLOOKUP(D832,Compte!$A$3:$B$346,2,0))</f>
        <v/>
      </c>
    </row>
    <row r="833" spans="1:9">
      <c r="A833" s="1206"/>
      <c r="B833" s="606"/>
      <c r="C833" s="1046"/>
      <c r="D833" s="1048"/>
      <c r="E833" s="1068"/>
      <c r="F833" s="1044"/>
      <c r="G833" s="1077">
        <f t="shared" si="12"/>
        <v>0</v>
      </c>
      <c r="H833" s="1042" t="str">
        <f>IF(C833="","",VLOOKUP(C833,Compte!$A$3:$B$346,2,0))</f>
        <v/>
      </c>
      <c r="I833" s="1043" t="str">
        <f>IF(D833="","",VLOOKUP(D833,Compte!$A$3:$B$346,2,0))</f>
        <v/>
      </c>
    </row>
    <row r="834" spans="1:9">
      <c r="A834" s="1206"/>
      <c r="B834" s="606"/>
      <c r="C834" s="1046"/>
      <c r="D834" s="1048"/>
      <c r="E834" s="1068"/>
      <c r="F834" s="1044"/>
      <c r="G834" s="1077">
        <f t="shared" si="12"/>
        <v>0</v>
      </c>
      <c r="H834" s="1042" t="str">
        <f>IF(C834="","",VLOOKUP(C834,Compte!$A$3:$B$346,2,0))</f>
        <v/>
      </c>
      <c r="I834" s="1043" t="str">
        <f>IF(D834="","",VLOOKUP(D834,Compte!$A$3:$B$346,2,0))</f>
        <v/>
      </c>
    </row>
    <row r="835" spans="1:9">
      <c r="A835" s="1206"/>
      <c r="B835" s="606"/>
      <c r="C835" s="1046"/>
      <c r="D835" s="1048"/>
      <c r="E835" s="1068"/>
      <c r="F835" s="1044"/>
      <c r="G835" s="1077">
        <f t="shared" si="12"/>
        <v>0</v>
      </c>
      <c r="H835" s="1042" t="str">
        <f>IF(C835="","",VLOOKUP(C835,Compte!$A$3:$B$346,2,0))</f>
        <v/>
      </c>
      <c r="I835" s="1043" t="str">
        <f>IF(D835="","",VLOOKUP(D835,Compte!$A$3:$B$346,2,0))</f>
        <v/>
      </c>
    </row>
    <row r="836" spans="1:9">
      <c r="A836" s="1206"/>
      <c r="B836" s="606"/>
      <c r="C836" s="1046"/>
      <c r="D836" s="1048"/>
      <c r="E836" s="1068"/>
      <c r="F836" s="1044"/>
      <c r="G836" s="1077">
        <f t="shared" si="12"/>
        <v>0</v>
      </c>
      <c r="H836" s="1042" t="str">
        <f>IF(C836="","",VLOOKUP(C836,Compte!$A$3:$B$346,2,0))</f>
        <v/>
      </c>
      <c r="I836" s="1043" t="str">
        <f>IF(D836="","",VLOOKUP(D836,Compte!$A$3:$B$346,2,0))</f>
        <v/>
      </c>
    </row>
    <row r="837" spans="1:9">
      <c r="A837" s="1206"/>
      <c r="B837" s="606"/>
      <c r="C837" s="1046"/>
      <c r="D837" s="1048"/>
      <c r="E837" s="1068"/>
      <c r="F837" s="1044"/>
      <c r="G837" s="1077">
        <f t="shared" si="12"/>
        <v>0</v>
      </c>
      <c r="H837" s="1042" t="str">
        <f>IF(C837="","",VLOOKUP(C837,Compte!$A$3:$B$346,2,0))</f>
        <v/>
      </c>
      <c r="I837" s="1043" t="str">
        <f>IF(D837="","",VLOOKUP(D837,Compte!$A$3:$B$346,2,0))</f>
        <v/>
      </c>
    </row>
    <row r="838" spans="1:9">
      <c r="A838" s="1206"/>
      <c r="B838" s="606"/>
      <c r="C838" s="1046"/>
      <c r="D838" s="1048"/>
      <c r="E838" s="1068"/>
      <c r="F838" s="1044"/>
      <c r="G838" s="1077">
        <f t="shared" si="12"/>
        <v>0</v>
      </c>
      <c r="H838" s="1042" t="str">
        <f>IF(C838="","",VLOOKUP(C838,Compte!$A$3:$B$346,2,0))</f>
        <v/>
      </c>
      <c r="I838" s="1043" t="str">
        <f>IF(D838="","",VLOOKUP(D838,Compte!$A$3:$B$346,2,0))</f>
        <v/>
      </c>
    </row>
    <row r="839" spans="1:9">
      <c r="A839" s="1206"/>
      <c r="B839" s="606"/>
      <c r="C839" s="1046"/>
      <c r="D839" s="1048"/>
      <c r="E839" s="1068"/>
      <c r="F839" s="1044"/>
      <c r="G839" s="1077">
        <f t="shared" si="12"/>
        <v>0</v>
      </c>
      <c r="H839" s="1042" t="str">
        <f>IF(C839="","",VLOOKUP(C839,Compte!$A$3:$B$346,2,0))</f>
        <v/>
      </c>
      <c r="I839" s="1043" t="str">
        <f>IF(D839="","",VLOOKUP(D839,Compte!$A$3:$B$346,2,0))</f>
        <v/>
      </c>
    </row>
    <row r="840" spans="1:9">
      <c r="A840" s="1206"/>
      <c r="B840" s="606"/>
      <c r="C840" s="1046"/>
      <c r="D840" s="1048"/>
      <c r="E840" s="1068"/>
      <c r="F840" s="1044"/>
      <c r="G840" s="1077">
        <f t="shared" ref="G840:G903" si="13">IF(C840="",F840,E840)</f>
        <v>0</v>
      </c>
      <c r="H840" s="1042" t="str">
        <f>IF(C840="","",VLOOKUP(C840,Compte!$A$3:$B$346,2,0))</f>
        <v/>
      </c>
      <c r="I840" s="1043" t="str">
        <f>IF(D840="","",VLOOKUP(D840,Compte!$A$3:$B$346,2,0))</f>
        <v/>
      </c>
    </row>
    <row r="841" spans="1:9">
      <c r="A841" s="1206"/>
      <c r="B841" s="606"/>
      <c r="C841" s="1046"/>
      <c r="D841" s="1048"/>
      <c r="E841" s="1068"/>
      <c r="F841" s="1044"/>
      <c r="G841" s="1077">
        <f t="shared" si="13"/>
        <v>0</v>
      </c>
      <c r="H841" s="1042" t="str">
        <f>IF(C841="","",VLOOKUP(C841,Compte!$A$3:$B$346,2,0))</f>
        <v/>
      </c>
      <c r="I841" s="1043" t="str">
        <f>IF(D841="","",VLOOKUP(D841,Compte!$A$3:$B$346,2,0))</f>
        <v/>
      </c>
    </row>
    <row r="842" spans="1:9">
      <c r="A842" s="1206"/>
      <c r="B842" s="606"/>
      <c r="C842" s="1046"/>
      <c r="D842" s="1048"/>
      <c r="E842" s="1068"/>
      <c r="F842" s="1044"/>
      <c r="G842" s="1077">
        <f t="shared" si="13"/>
        <v>0</v>
      </c>
      <c r="H842" s="1042" t="str">
        <f>IF(C842="","",VLOOKUP(C842,Compte!$A$3:$B$346,2,0))</f>
        <v/>
      </c>
      <c r="I842" s="1043" t="str">
        <f>IF(D842="","",VLOOKUP(D842,Compte!$A$3:$B$346,2,0))</f>
        <v/>
      </c>
    </row>
    <row r="843" spans="1:9">
      <c r="A843" s="1206"/>
      <c r="B843" s="606"/>
      <c r="C843" s="1046"/>
      <c r="D843" s="1048"/>
      <c r="E843" s="1068"/>
      <c r="F843" s="1044"/>
      <c r="G843" s="1077">
        <f t="shared" si="13"/>
        <v>0</v>
      </c>
      <c r="H843" s="1042" t="str">
        <f>IF(C843="","",VLOOKUP(C843,Compte!$A$3:$B$346,2,0))</f>
        <v/>
      </c>
      <c r="I843" s="1043" t="str">
        <f>IF(D843="","",VLOOKUP(D843,Compte!$A$3:$B$346,2,0))</f>
        <v/>
      </c>
    </row>
    <row r="844" spans="1:9">
      <c r="A844" s="1206"/>
      <c r="B844" s="606"/>
      <c r="C844" s="1046"/>
      <c r="D844" s="1048"/>
      <c r="E844" s="1068"/>
      <c r="F844" s="1044"/>
      <c r="G844" s="1077">
        <f t="shared" si="13"/>
        <v>0</v>
      </c>
      <c r="H844" s="1042" t="str">
        <f>IF(C844="","",VLOOKUP(C844,Compte!$A$3:$B$346,2,0))</f>
        <v/>
      </c>
      <c r="I844" s="1043" t="str">
        <f>IF(D844="","",VLOOKUP(D844,Compte!$A$3:$B$346,2,0))</f>
        <v/>
      </c>
    </row>
    <row r="845" spans="1:9">
      <c r="A845" s="1206"/>
      <c r="B845" s="606"/>
      <c r="C845" s="1046"/>
      <c r="D845" s="1048"/>
      <c r="E845" s="1068"/>
      <c r="F845" s="1044"/>
      <c r="G845" s="1077">
        <f t="shared" si="13"/>
        <v>0</v>
      </c>
      <c r="H845" s="1042" t="str">
        <f>IF(C845="","",VLOOKUP(C845,Compte!$A$3:$B$346,2,0))</f>
        <v/>
      </c>
      <c r="I845" s="1043" t="str">
        <f>IF(D845="","",VLOOKUP(D845,Compte!$A$3:$B$346,2,0))</f>
        <v/>
      </c>
    </row>
    <row r="846" spans="1:9">
      <c r="A846" s="1206"/>
      <c r="B846" s="606"/>
      <c r="C846" s="1046"/>
      <c r="D846" s="1048"/>
      <c r="E846" s="1068"/>
      <c r="F846" s="1044"/>
      <c r="G846" s="1077">
        <f t="shared" si="13"/>
        <v>0</v>
      </c>
      <c r="H846" s="1042" t="str">
        <f>IF(C846="","",VLOOKUP(C846,Compte!$A$3:$B$346,2,0))</f>
        <v/>
      </c>
      <c r="I846" s="1043" t="str">
        <f>IF(D846="","",VLOOKUP(D846,Compte!$A$3:$B$346,2,0))</f>
        <v/>
      </c>
    </row>
    <row r="847" spans="1:9">
      <c r="A847" s="1206"/>
      <c r="B847" s="606"/>
      <c r="C847" s="1046"/>
      <c r="D847" s="1048"/>
      <c r="E847" s="1068"/>
      <c r="F847" s="1044"/>
      <c r="G847" s="1077">
        <f t="shared" si="13"/>
        <v>0</v>
      </c>
      <c r="H847" s="1042" t="str">
        <f>IF(C847="","",VLOOKUP(C847,Compte!$A$3:$B$346,2,0))</f>
        <v/>
      </c>
      <c r="I847" s="1043" t="str">
        <f>IF(D847="","",VLOOKUP(D847,Compte!$A$3:$B$346,2,0))</f>
        <v/>
      </c>
    </row>
    <row r="848" spans="1:9">
      <c r="A848" s="1206"/>
      <c r="B848" s="606"/>
      <c r="C848" s="1046"/>
      <c r="D848" s="1048"/>
      <c r="E848" s="1068"/>
      <c r="F848" s="1044"/>
      <c r="G848" s="1077">
        <f t="shared" si="13"/>
        <v>0</v>
      </c>
      <c r="H848" s="1042" t="str">
        <f>IF(C848="","",VLOOKUP(C848,Compte!$A$3:$B$346,2,0))</f>
        <v/>
      </c>
      <c r="I848" s="1043" t="str">
        <f>IF(D848="","",VLOOKUP(D848,Compte!$A$3:$B$346,2,0))</f>
        <v/>
      </c>
    </row>
    <row r="849" spans="1:9">
      <c r="A849" s="1206"/>
      <c r="B849" s="606"/>
      <c r="C849" s="1046"/>
      <c r="D849" s="1048"/>
      <c r="E849" s="1068"/>
      <c r="F849" s="1044"/>
      <c r="G849" s="1077">
        <f t="shared" si="13"/>
        <v>0</v>
      </c>
      <c r="H849" s="1042" t="str">
        <f>IF(C849="","",VLOOKUP(C849,Compte!$A$3:$B$346,2,0))</f>
        <v/>
      </c>
      <c r="I849" s="1043" t="str">
        <f>IF(D849="","",VLOOKUP(D849,Compte!$A$3:$B$346,2,0))</f>
        <v/>
      </c>
    </row>
    <row r="850" spans="1:9">
      <c r="A850" s="1206"/>
      <c r="B850" s="606"/>
      <c r="C850" s="1046"/>
      <c r="D850" s="1048"/>
      <c r="E850" s="1068"/>
      <c r="F850" s="1044"/>
      <c r="G850" s="1077">
        <f t="shared" si="13"/>
        <v>0</v>
      </c>
      <c r="H850" s="1042" t="str">
        <f>IF(C850="","",VLOOKUP(C850,Compte!$A$3:$B$346,2,0))</f>
        <v/>
      </c>
      <c r="I850" s="1043" t="str">
        <f>IF(D850="","",VLOOKUP(D850,Compte!$A$3:$B$346,2,0))</f>
        <v/>
      </c>
    </row>
    <row r="851" spans="1:9">
      <c r="A851" s="1206"/>
      <c r="B851" s="606"/>
      <c r="C851" s="1046"/>
      <c r="D851" s="1048"/>
      <c r="E851" s="1068"/>
      <c r="F851" s="1044"/>
      <c r="G851" s="1077">
        <f t="shared" si="13"/>
        <v>0</v>
      </c>
      <c r="H851" s="1042" t="str">
        <f>IF(C851="","",VLOOKUP(C851,Compte!$A$3:$B$346,2,0))</f>
        <v/>
      </c>
      <c r="I851" s="1043" t="str">
        <f>IF(D851="","",VLOOKUP(D851,Compte!$A$3:$B$346,2,0))</f>
        <v/>
      </c>
    </row>
    <row r="852" spans="1:9">
      <c r="A852" s="1206"/>
      <c r="B852" s="606"/>
      <c r="C852" s="1046"/>
      <c r="D852" s="1048"/>
      <c r="E852" s="1068"/>
      <c r="F852" s="1044"/>
      <c r="G852" s="1077">
        <f t="shared" si="13"/>
        <v>0</v>
      </c>
      <c r="H852" s="1042" t="str">
        <f>IF(C852="","",VLOOKUP(C852,Compte!$A$3:$B$346,2,0))</f>
        <v/>
      </c>
      <c r="I852" s="1043" t="str">
        <f>IF(D852="","",VLOOKUP(D852,Compte!$A$3:$B$346,2,0))</f>
        <v/>
      </c>
    </row>
    <row r="853" spans="1:9">
      <c r="A853" s="1206"/>
      <c r="B853" s="606"/>
      <c r="C853" s="1046"/>
      <c r="D853" s="1048"/>
      <c r="E853" s="1068"/>
      <c r="F853" s="1044"/>
      <c r="G853" s="1077">
        <f t="shared" si="13"/>
        <v>0</v>
      </c>
      <c r="H853" s="1042" t="str">
        <f>IF(C853="","",VLOOKUP(C853,Compte!$A$3:$B$346,2,0))</f>
        <v/>
      </c>
      <c r="I853" s="1043" t="str">
        <f>IF(D853="","",VLOOKUP(D853,Compte!$A$3:$B$346,2,0))</f>
        <v/>
      </c>
    </row>
    <row r="854" spans="1:9">
      <c r="A854" s="1206"/>
      <c r="B854" s="606"/>
      <c r="C854" s="1046"/>
      <c r="D854" s="1048"/>
      <c r="E854" s="1068"/>
      <c r="F854" s="1044"/>
      <c r="G854" s="1077">
        <f t="shared" si="13"/>
        <v>0</v>
      </c>
      <c r="H854" s="1042" t="str">
        <f>IF(C854="","",VLOOKUP(C854,Compte!$A$3:$B$346,2,0))</f>
        <v/>
      </c>
      <c r="I854" s="1043" t="str">
        <f>IF(D854="","",VLOOKUP(D854,Compte!$A$3:$B$346,2,0))</f>
        <v/>
      </c>
    </row>
    <row r="855" spans="1:9">
      <c r="A855" s="1206"/>
      <c r="B855" s="606"/>
      <c r="C855" s="1046"/>
      <c r="D855" s="1048"/>
      <c r="E855" s="1068"/>
      <c r="F855" s="1044"/>
      <c r="G855" s="1077">
        <f t="shared" si="13"/>
        <v>0</v>
      </c>
      <c r="H855" s="1042" t="str">
        <f>IF(C855="","",VLOOKUP(C855,Compte!$A$3:$B$346,2,0))</f>
        <v/>
      </c>
      <c r="I855" s="1043" t="str">
        <f>IF(D855="","",VLOOKUP(D855,Compte!$A$3:$B$346,2,0))</f>
        <v/>
      </c>
    </row>
    <row r="856" spans="1:9">
      <c r="A856" s="1206"/>
      <c r="B856" s="606"/>
      <c r="C856" s="1046"/>
      <c r="D856" s="1048"/>
      <c r="E856" s="1068"/>
      <c r="F856" s="1044"/>
      <c r="G856" s="1077">
        <f t="shared" si="13"/>
        <v>0</v>
      </c>
      <c r="H856" s="1042" t="str">
        <f>IF(C856="","",VLOOKUP(C856,Compte!$A$3:$B$346,2,0))</f>
        <v/>
      </c>
      <c r="I856" s="1043" t="str">
        <f>IF(D856="","",VLOOKUP(D856,Compte!$A$3:$B$346,2,0))</f>
        <v/>
      </c>
    </row>
    <row r="857" spans="1:9">
      <c r="A857" s="1206"/>
      <c r="B857" s="606"/>
      <c r="C857" s="1046"/>
      <c r="D857" s="1048"/>
      <c r="E857" s="1068"/>
      <c r="F857" s="1044"/>
      <c r="G857" s="1077">
        <f t="shared" si="13"/>
        <v>0</v>
      </c>
      <c r="H857" s="1042" t="str">
        <f>IF(C857="","",VLOOKUP(C857,Compte!$A$3:$B$346,2,0))</f>
        <v/>
      </c>
      <c r="I857" s="1043" t="str">
        <f>IF(D857="","",VLOOKUP(D857,Compte!$A$3:$B$346,2,0))</f>
        <v/>
      </c>
    </row>
    <row r="858" spans="1:9">
      <c r="A858" s="1206"/>
      <c r="B858" s="606"/>
      <c r="C858" s="1046"/>
      <c r="D858" s="1048"/>
      <c r="E858" s="1068"/>
      <c r="F858" s="1044"/>
      <c r="G858" s="1077">
        <f t="shared" si="13"/>
        <v>0</v>
      </c>
      <c r="H858" s="1042" t="str">
        <f>IF(C858="","",VLOOKUP(C858,Compte!$A$3:$B$346,2,0))</f>
        <v/>
      </c>
      <c r="I858" s="1043" t="str">
        <f>IF(D858="","",VLOOKUP(D858,Compte!$A$3:$B$346,2,0))</f>
        <v/>
      </c>
    </row>
    <row r="859" spans="1:9">
      <c r="A859" s="1206"/>
      <c r="B859" s="606"/>
      <c r="C859" s="1046"/>
      <c r="D859" s="1048"/>
      <c r="E859" s="1068"/>
      <c r="F859" s="1044"/>
      <c r="G859" s="1077">
        <f t="shared" si="13"/>
        <v>0</v>
      </c>
      <c r="H859" s="1042" t="str">
        <f>IF(C859="","",VLOOKUP(C859,Compte!$A$3:$B$346,2,0))</f>
        <v/>
      </c>
      <c r="I859" s="1043" t="str">
        <f>IF(D859="","",VLOOKUP(D859,Compte!$A$3:$B$346,2,0))</f>
        <v/>
      </c>
    </row>
    <row r="860" spans="1:9">
      <c r="A860" s="1206"/>
      <c r="B860" s="606"/>
      <c r="C860" s="1046"/>
      <c r="D860" s="1048"/>
      <c r="E860" s="1068"/>
      <c r="F860" s="1044"/>
      <c r="G860" s="1077">
        <f t="shared" si="13"/>
        <v>0</v>
      </c>
      <c r="H860" s="1042" t="str">
        <f>IF(C860="","",VLOOKUP(C860,Compte!$A$3:$B$346,2,0))</f>
        <v/>
      </c>
      <c r="I860" s="1043" t="str">
        <f>IF(D860="","",VLOOKUP(D860,Compte!$A$3:$B$346,2,0))</f>
        <v/>
      </c>
    </row>
    <row r="861" spans="1:9">
      <c r="A861" s="1206"/>
      <c r="B861" s="606"/>
      <c r="C861" s="1046"/>
      <c r="D861" s="1048"/>
      <c r="E861" s="1068"/>
      <c r="F861" s="1044"/>
      <c r="G861" s="1077">
        <f t="shared" si="13"/>
        <v>0</v>
      </c>
      <c r="H861" s="1042" t="str">
        <f>IF(C861="","",VLOOKUP(C861,Compte!$A$3:$B$346,2,0))</f>
        <v/>
      </c>
      <c r="I861" s="1043" t="str">
        <f>IF(D861="","",VLOOKUP(D861,Compte!$A$3:$B$346,2,0))</f>
        <v/>
      </c>
    </row>
    <row r="862" spans="1:9">
      <c r="A862" s="1206"/>
      <c r="B862" s="606"/>
      <c r="C862" s="1046"/>
      <c r="D862" s="1048"/>
      <c r="E862" s="1068"/>
      <c r="F862" s="1044"/>
      <c r="G862" s="1077">
        <f t="shared" si="13"/>
        <v>0</v>
      </c>
      <c r="H862" s="1042" t="str">
        <f>IF(C862="","",VLOOKUP(C862,Compte!$A$3:$B$346,2,0))</f>
        <v/>
      </c>
      <c r="I862" s="1043" t="str">
        <f>IF(D862="","",VLOOKUP(D862,Compte!$A$3:$B$346,2,0))</f>
        <v/>
      </c>
    </row>
    <row r="863" spans="1:9">
      <c r="A863" s="1206"/>
      <c r="B863" s="606"/>
      <c r="C863" s="1046"/>
      <c r="D863" s="1048"/>
      <c r="E863" s="1068"/>
      <c r="F863" s="1044"/>
      <c r="G863" s="1077">
        <f t="shared" si="13"/>
        <v>0</v>
      </c>
      <c r="H863" s="1042" t="str">
        <f>IF(C863="","",VLOOKUP(C863,Compte!$A$3:$B$346,2,0))</f>
        <v/>
      </c>
      <c r="I863" s="1043" t="str">
        <f>IF(D863="","",VLOOKUP(D863,Compte!$A$3:$B$346,2,0))</f>
        <v/>
      </c>
    </row>
    <row r="864" spans="1:9">
      <c r="A864" s="1206"/>
      <c r="B864" s="606"/>
      <c r="C864" s="1046"/>
      <c r="D864" s="1048"/>
      <c r="E864" s="1068"/>
      <c r="F864" s="1044"/>
      <c r="G864" s="1077">
        <f t="shared" si="13"/>
        <v>0</v>
      </c>
      <c r="H864" s="1042" t="str">
        <f>IF(C864="","",VLOOKUP(C864,Compte!$A$3:$B$346,2,0))</f>
        <v/>
      </c>
      <c r="I864" s="1043" t="str">
        <f>IF(D864="","",VLOOKUP(D864,Compte!$A$3:$B$346,2,0))</f>
        <v/>
      </c>
    </row>
    <row r="865" spans="1:9">
      <c r="A865" s="1206"/>
      <c r="B865" s="606"/>
      <c r="C865" s="1046"/>
      <c r="D865" s="1048"/>
      <c r="E865" s="1068"/>
      <c r="F865" s="1044"/>
      <c r="G865" s="1077">
        <f t="shared" si="13"/>
        <v>0</v>
      </c>
      <c r="H865" s="1042" t="str">
        <f>IF(C865="","",VLOOKUP(C865,Compte!$A$3:$B$346,2,0))</f>
        <v/>
      </c>
      <c r="I865" s="1043" t="str">
        <f>IF(D865="","",VLOOKUP(D865,Compte!$A$3:$B$346,2,0))</f>
        <v/>
      </c>
    </row>
    <row r="866" spans="1:9">
      <c r="A866" s="1206"/>
      <c r="B866" s="606"/>
      <c r="C866" s="1046"/>
      <c r="D866" s="1048"/>
      <c r="E866" s="1068"/>
      <c r="F866" s="1044"/>
      <c r="G866" s="1077">
        <f t="shared" si="13"/>
        <v>0</v>
      </c>
      <c r="H866" s="1042" t="str">
        <f>IF(C866="","",VLOOKUP(C866,Compte!$A$3:$B$346,2,0))</f>
        <v/>
      </c>
      <c r="I866" s="1043" t="str">
        <f>IF(D866="","",VLOOKUP(D866,Compte!$A$3:$B$346,2,0))</f>
        <v/>
      </c>
    </row>
    <row r="867" spans="1:9">
      <c r="A867" s="1206"/>
      <c r="B867" s="606"/>
      <c r="C867" s="1046"/>
      <c r="D867" s="1048"/>
      <c r="E867" s="1068"/>
      <c r="F867" s="1044"/>
      <c r="G867" s="1077">
        <f t="shared" si="13"/>
        <v>0</v>
      </c>
      <c r="H867" s="1042" t="str">
        <f>IF(C867="","",VLOOKUP(C867,Compte!$A$3:$B$346,2,0))</f>
        <v/>
      </c>
      <c r="I867" s="1043" t="str">
        <f>IF(D867="","",VLOOKUP(D867,Compte!$A$3:$B$346,2,0))</f>
        <v/>
      </c>
    </row>
    <row r="868" spans="1:9">
      <c r="A868" s="1206"/>
      <c r="B868" s="606"/>
      <c r="C868" s="1046"/>
      <c r="D868" s="1048"/>
      <c r="E868" s="1068"/>
      <c r="F868" s="1044"/>
      <c r="G868" s="1077">
        <f t="shared" si="13"/>
        <v>0</v>
      </c>
      <c r="H868" s="1042" t="str">
        <f>IF(C868="","",VLOOKUP(C868,Compte!$A$3:$B$346,2,0))</f>
        <v/>
      </c>
      <c r="I868" s="1043" t="str">
        <f>IF(D868="","",VLOOKUP(D868,Compte!$A$3:$B$346,2,0))</f>
        <v/>
      </c>
    </row>
    <row r="869" spans="1:9">
      <c r="A869" s="1206"/>
      <c r="B869" s="606"/>
      <c r="C869" s="1046"/>
      <c r="D869" s="1048"/>
      <c r="E869" s="1068"/>
      <c r="F869" s="1044"/>
      <c r="G869" s="1077">
        <f t="shared" si="13"/>
        <v>0</v>
      </c>
      <c r="H869" s="1042" t="str">
        <f>IF(C869="","",VLOOKUP(C869,Compte!$A$3:$B$346,2,0))</f>
        <v/>
      </c>
      <c r="I869" s="1043" t="str">
        <f>IF(D869="","",VLOOKUP(D869,Compte!$A$3:$B$346,2,0))</f>
        <v/>
      </c>
    </row>
    <row r="870" spans="1:9">
      <c r="A870" s="1206"/>
      <c r="B870" s="606"/>
      <c r="C870" s="1046"/>
      <c r="D870" s="1048"/>
      <c r="E870" s="1068"/>
      <c r="F870" s="1044"/>
      <c r="G870" s="1077">
        <f t="shared" si="13"/>
        <v>0</v>
      </c>
      <c r="H870" s="1042" t="str">
        <f>IF(C870="","",VLOOKUP(C870,Compte!$A$3:$B$346,2,0))</f>
        <v/>
      </c>
      <c r="I870" s="1043" t="str">
        <f>IF(D870="","",VLOOKUP(D870,Compte!$A$3:$B$346,2,0))</f>
        <v/>
      </c>
    </row>
    <row r="871" spans="1:9">
      <c r="A871" s="1206"/>
      <c r="B871" s="606"/>
      <c r="C871" s="1046"/>
      <c r="D871" s="1048"/>
      <c r="E871" s="1068"/>
      <c r="F871" s="1044"/>
      <c r="G871" s="1077">
        <f t="shared" si="13"/>
        <v>0</v>
      </c>
      <c r="H871" s="1042" t="str">
        <f>IF(C871="","",VLOOKUP(C871,Compte!$A$3:$B$346,2,0))</f>
        <v/>
      </c>
      <c r="I871" s="1043" t="str">
        <f>IF(D871="","",VLOOKUP(D871,Compte!$A$3:$B$346,2,0))</f>
        <v/>
      </c>
    </row>
    <row r="872" spans="1:9">
      <c r="A872" s="1206"/>
      <c r="B872" s="606"/>
      <c r="C872" s="1046"/>
      <c r="D872" s="1048"/>
      <c r="E872" s="1068"/>
      <c r="F872" s="1044"/>
      <c r="G872" s="1077">
        <f t="shared" si="13"/>
        <v>0</v>
      </c>
      <c r="H872" s="1042" t="str">
        <f>IF(C872="","",VLOOKUP(C872,Compte!$A$3:$B$346,2,0))</f>
        <v/>
      </c>
      <c r="I872" s="1043" t="str">
        <f>IF(D872="","",VLOOKUP(D872,Compte!$A$3:$B$346,2,0))</f>
        <v/>
      </c>
    </row>
    <row r="873" spans="1:9">
      <c r="A873" s="1206"/>
      <c r="B873" s="606"/>
      <c r="C873" s="1046"/>
      <c r="D873" s="1048"/>
      <c r="E873" s="1068"/>
      <c r="F873" s="1044"/>
      <c r="G873" s="1077">
        <f t="shared" si="13"/>
        <v>0</v>
      </c>
      <c r="H873" s="1042" t="str">
        <f>IF(C873="","",VLOOKUP(C873,Compte!$A$3:$B$346,2,0))</f>
        <v/>
      </c>
      <c r="I873" s="1043" t="str">
        <f>IF(D873="","",VLOOKUP(D873,Compte!$A$3:$B$346,2,0))</f>
        <v/>
      </c>
    </row>
    <row r="874" spans="1:9">
      <c r="A874" s="1206"/>
      <c r="B874" s="606"/>
      <c r="C874" s="1046"/>
      <c r="D874" s="1048"/>
      <c r="E874" s="1068"/>
      <c r="F874" s="1044"/>
      <c r="G874" s="1077">
        <f t="shared" si="13"/>
        <v>0</v>
      </c>
      <c r="H874" s="1042" t="str">
        <f>IF(C874="","",VLOOKUP(C874,Compte!$A$3:$B$346,2,0))</f>
        <v/>
      </c>
      <c r="I874" s="1043" t="str">
        <f>IF(D874="","",VLOOKUP(D874,Compte!$A$3:$B$346,2,0))</f>
        <v/>
      </c>
    </row>
    <row r="875" spans="1:9">
      <c r="A875" s="1206"/>
      <c r="B875" s="606"/>
      <c r="C875" s="1046"/>
      <c r="D875" s="1048"/>
      <c r="E875" s="1068"/>
      <c r="F875" s="1044"/>
      <c r="G875" s="1077">
        <f t="shared" si="13"/>
        <v>0</v>
      </c>
      <c r="H875" s="1042" t="str">
        <f>IF(C875="","",VLOOKUP(C875,Compte!$A$3:$B$346,2,0))</f>
        <v/>
      </c>
      <c r="I875" s="1043" t="str">
        <f>IF(D875="","",VLOOKUP(D875,Compte!$A$3:$B$346,2,0))</f>
        <v/>
      </c>
    </row>
    <row r="876" spans="1:9">
      <c r="A876" s="1206"/>
      <c r="B876" s="606"/>
      <c r="C876" s="1046"/>
      <c r="D876" s="1048"/>
      <c r="E876" s="1068"/>
      <c r="F876" s="1044"/>
      <c r="G876" s="1077">
        <f t="shared" si="13"/>
        <v>0</v>
      </c>
      <c r="H876" s="1042" t="str">
        <f>IF(C876="","",VLOOKUP(C876,Compte!$A$3:$B$346,2,0))</f>
        <v/>
      </c>
      <c r="I876" s="1043" t="str">
        <f>IF(D876="","",VLOOKUP(D876,Compte!$A$3:$B$346,2,0))</f>
        <v/>
      </c>
    </row>
    <row r="877" spans="1:9">
      <c r="A877" s="1206"/>
      <c r="B877" s="606"/>
      <c r="C877" s="1046"/>
      <c r="D877" s="1048"/>
      <c r="E877" s="1068"/>
      <c r="F877" s="1044"/>
      <c r="G877" s="1077">
        <f t="shared" si="13"/>
        <v>0</v>
      </c>
      <c r="H877" s="1042" t="str">
        <f>IF(C877="","",VLOOKUP(C877,Compte!$A$3:$B$346,2,0))</f>
        <v/>
      </c>
      <c r="I877" s="1043" t="str">
        <f>IF(D877="","",VLOOKUP(D877,Compte!$A$3:$B$346,2,0))</f>
        <v/>
      </c>
    </row>
    <row r="878" spans="1:9">
      <c r="A878" s="1206"/>
      <c r="B878" s="606"/>
      <c r="C878" s="1046"/>
      <c r="D878" s="1048"/>
      <c r="E878" s="1068"/>
      <c r="F878" s="1044"/>
      <c r="G878" s="1077">
        <f t="shared" si="13"/>
        <v>0</v>
      </c>
      <c r="H878" s="1042" t="str">
        <f>IF(C878="","",VLOOKUP(C878,Compte!$A$3:$B$346,2,0))</f>
        <v/>
      </c>
      <c r="I878" s="1043" t="str">
        <f>IF(D878="","",VLOOKUP(D878,Compte!$A$3:$B$346,2,0))</f>
        <v/>
      </c>
    </row>
    <row r="879" spans="1:9">
      <c r="A879" s="1206"/>
      <c r="B879" s="606"/>
      <c r="C879" s="1046"/>
      <c r="D879" s="1048"/>
      <c r="E879" s="1068"/>
      <c r="F879" s="1044"/>
      <c r="G879" s="1077">
        <f t="shared" si="13"/>
        <v>0</v>
      </c>
      <c r="H879" s="1042" t="str">
        <f>IF(C879="","",VLOOKUP(C879,Compte!$A$3:$B$346,2,0))</f>
        <v/>
      </c>
      <c r="I879" s="1043" t="str">
        <f>IF(D879="","",VLOOKUP(D879,Compte!$A$3:$B$346,2,0))</f>
        <v/>
      </c>
    </row>
    <row r="880" spans="1:9">
      <c r="A880" s="1206"/>
      <c r="B880" s="606"/>
      <c r="C880" s="1046"/>
      <c r="D880" s="1048"/>
      <c r="E880" s="1068"/>
      <c r="F880" s="1044"/>
      <c r="G880" s="1077">
        <f t="shared" si="13"/>
        <v>0</v>
      </c>
      <c r="H880" s="1042" t="str">
        <f>IF(C880="","",VLOOKUP(C880,Compte!$A$3:$B$346,2,0))</f>
        <v/>
      </c>
      <c r="I880" s="1043" t="str">
        <f>IF(D880="","",VLOOKUP(D880,Compte!$A$3:$B$346,2,0))</f>
        <v/>
      </c>
    </row>
    <row r="881" spans="1:9">
      <c r="A881" s="1206"/>
      <c r="B881" s="606"/>
      <c r="C881" s="1046"/>
      <c r="D881" s="1048"/>
      <c r="E881" s="1068"/>
      <c r="F881" s="1044"/>
      <c r="G881" s="1077">
        <f t="shared" si="13"/>
        <v>0</v>
      </c>
      <c r="H881" s="1042" t="str">
        <f>IF(C881="","",VLOOKUP(C881,Compte!$A$3:$B$346,2,0))</f>
        <v/>
      </c>
      <c r="I881" s="1043" t="str">
        <f>IF(D881="","",VLOOKUP(D881,Compte!$A$3:$B$346,2,0))</f>
        <v/>
      </c>
    </row>
    <row r="882" spans="1:9">
      <c r="A882" s="1206"/>
      <c r="B882" s="606"/>
      <c r="C882" s="1046"/>
      <c r="D882" s="1048"/>
      <c r="E882" s="1068"/>
      <c r="F882" s="1044"/>
      <c r="G882" s="1077">
        <f t="shared" si="13"/>
        <v>0</v>
      </c>
      <c r="H882" s="1042" t="str">
        <f>IF(C882="","",VLOOKUP(C882,Compte!$A$3:$B$346,2,0))</f>
        <v/>
      </c>
      <c r="I882" s="1043" t="str">
        <f>IF(D882="","",VLOOKUP(D882,Compte!$A$3:$B$346,2,0))</f>
        <v/>
      </c>
    </row>
    <row r="883" spans="1:9">
      <c r="A883" s="1206"/>
      <c r="B883" s="606"/>
      <c r="C883" s="1046"/>
      <c r="D883" s="1048"/>
      <c r="E883" s="1068"/>
      <c r="F883" s="1044"/>
      <c r="G883" s="1077">
        <f t="shared" si="13"/>
        <v>0</v>
      </c>
      <c r="H883" s="1042" t="str">
        <f>IF(C883="","",VLOOKUP(C883,Compte!$A$3:$B$346,2,0))</f>
        <v/>
      </c>
      <c r="I883" s="1043" t="str">
        <f>IF(D883="","",VLOOKUP(D883,Compte!$A$3:$B$346,2,0))</f>
        <v/>
      </c>
    </row>
    <row r="884" spans="1:9">
      <c r="A884" s="1206"/>
      <c r="B884" s="606"/>
      <c r="C884" s="1046"/>
      <c r="D884" s="1048"/>
      <c r="E884" s="1068"/>
      <c r="F884" s="1044"/>
      <c r="G884" s="1077">
        <f t="shared" si="13"/>
        <v>0</v>
      </c>
      <c r="H884" s="1042" t="str">
        <f>IF(C884="","",VLOOKUP(C884,Compte!$A$3:$B$346,2,0))</f>
        <v/>
      </c>
      <c r="I884" s="1043" t="str">
        <f>IF(D884="","",VLOOKUP(D884,Compte!$A$3:$B$346,2,0))</f>
        <v/>
      </c>
    </row>
    <row r="885" spans="1:9">
      <c r="A885" s="1206"/>
      <c r="B885" s="606"/>
      <c r="C885" s="1046"/>
      <c r="D885" s="1048"/>
      <c r="E885" s="1068"/>
      <c r="F885" s="1044"/>
      <c r="G885" s="1077">
        <f t="shared" si="13"/>
        <v>0</v>
      </c>
      <c r="H885" s="1042" t="str">
        <f>IF(C885="","",VLOOKUP(C885,Compte!$A$3:$B$346,2,0))</f>
        <v/>
      </c>
      <c r="I885" s="1043" t="str">
        <f>IF(D885="","",VLOOKUP(D885,Compte!$A$3:$B$346,2,0))</f>
        <v/>
      </c>
    </row>
    <row r="886" spans="1:9">
      <c r="A886" s="1206"/>
      <c r="B886" s="606"/>
      <c r="C886" s="1046"/>
      <c r="D886" s="1048"/>
      <c r="E886" s="1068"/>
      <c r="F886" s="1044"/>
      <c r="G886" s="1077">
        <f t="shared" si="13"/>
        <v>0</v>
      </c>
      <c r="H886" s="1042" t="str">
        <f>IF(C886="","",VLOOKUP(C886,Compte!$A$3:$B$346,2,0))</f>
        <v/>
      </c>
      <c r="I886" s="1043" t="str">
        <f>IF(D886="","",VLOOKUP(D886,Compte!$A$3:$B$346,2,0))</f>
        <v/>
      </c>
    </row>
    <row r="887" spans="1:9">
      <c r="A887" s="1206"/>
      <c r="B887" s="606"/>
      <c r="C887" s="1046"/>
      <c r="D887" s="1048"/>
      <c r="E887" s="1068"/>
      <c r="F887" s="1044"/>
      <c r="G887" s="1077">
        <f t="shared" si="13"/>
        <v>0</v>
      </c>
      <c r="H887" s="1042" t="str">
        <f>IF(C887="","",VLOOKUP(C887,Compte!$A$3:$B$346,2,0))</f>
        <v/>
      </c>
      <c r="I887" s="1043" t="str">
        <f>IF(D887="","",VLOOKUP(D887,Compte!$A$3:$B$346,2,0))</f>
        <v/>
      </c>
    </row>
    <row r="888" spans="1:9">
      <c r="A888" s="1206"/>
      <c r="B888" s="606"/>
      <c r="C888" s="1046"/>
      <c r="D888" s="1048"/>
      <c r="E888" s="1068"/>
      <c r="F888" s="1044"/>
      <c r="G888" s="1077">
        <f t="shared" si="13"/>
        <v>0</v>
      </c>
      <c r="H888" s="1042" t="str">
        <f>IF(C888="","",VLOOKUP(C888,Compte!$A$3:$B$346,2,0))</f>
        <v/>
      </c>
      <c r="I888" s="1043" t="str">
        <f>IF(D888="","",VLOOKUP(D888,Compte!$A$3:$B$346,2,0))</f>
        <v/>
      </c>
    </row>
    <row r="889" spans="1:9">
      <c r="A889" s="1206"/>
      <c r="B889" s="606"/>
      <c r="C889" s="1046"/>
      <c r="D889" s="1048"/>
      <c r="E889" s="1068"/>
      <c r="F889" s="1044"/>
      <c r="G889" s="1077">
        <f t="shared" si="13"/>
        <v>0</v>
      </c>
      <c r="H889" s="1042" t="str">
        <f>IF(C889="","",VLOOKUP(C889,Compte!$A$3:$B$346,2,0))</f>
        <v/>
      </c>
      <c r="I889" s="1043" t="str">
        <f>IF(D889="","",VLOOKUP(D889,Compte!$A$3:$B$346,2,0))</f>
        <v/>
      </c>
    </row>
    <row r="890" spans="1:9">
      <c r="A890" s="1206"/>
      <c r="B890" s="606"/>
      <c r="C890" s="1046"/>
      <c r="D890" s="1048"/>
      <c r="E890" s="1068"/>
      <c r="F890" s="1044"/>
      <c r="G890" s="1077">
        <f t="shared" si="13"/>
        <v>0</v>
      </c>
      <c r="H890" s="1042" t="str">
        <f>IF(C890="","",VLOOKUP(C890,Compte!$A$3:$B$346,2,0))</f>
        <v/>
      </c>
      <c r="I890" s="1043" t="str">
        <f>IF(D890="","",VLOOKUP(D890,Compte!$A$3:$B$346,2,0))</f>
        <v/>
      </c>
    </row>
    <row r="891" spans="1:9">
      <c r="A891" s="1206"/>
      <c r="B891" s="606"/>
      <c r="C891" s="1046"/>
      <c r="D891" s="1048"/>
      <c r="E891" s="1068"/>
      <c r="F891" s="1044"/>
      <c r="G891" s="1077">
        <f t="shared" si="13"/>
        <v>0</v>
      </c>
      <c r="H891" s="1042" t="str">
        <f>IF(C891="","",VLOOKUP(C891,Compte!$A$3:$B$346,2,0))</f>
        <v/>
      </c>
      <c r="I891" s="1043" t="str">
        <f>IF(D891="","",VLOOKUP(D891,Compte!$A$3:$B$346,2,0))</f>
        <v/>
      </c>
    </row>
    <row r="892" spans="1:9">
      <c r="A892" s="1206"/>
      <c r="B892" s="606"/>
      <c r="C892" s="1046"/>
      <c r="D892" s="1048"/>
      <c r="E892" s="1068"/>
      <c r="F892" s="1044"/>
      <c r="G892" s="1077">
        <f t="shared" si="13"/>
        <v>0</v>
      </c>
      <c r="H892" s="1042" t="str">
        <f>IF(C892="","",VLOOKUP(C892,Compte!$A$3:$B$346,2,0))</f>
        <v/>
      </c>
      <c r="I892" s="1043" t="str">
        <f>IF(D892="","",VLOOKUP(D892,Compte!$A$3:$B$346,2,0))</f>
        <v/>
      </c>
    </row>
    <row r="893" spans="1:9">
      <c r="A893" s="1206"/>
      <c r="B893" s="606"/>
      <c r="C893" s="1046"/>
      <c r="D893" s="1048"/>
      <c r="E893" s="1068"/>
      <c r="F893" s="1044"/>
      <c r="G893" s="1077">
        <f t="shared" si="13"/>
        <v>0</v>
      </c>
      <c r="H893" s="1042" t="str">
        <f>IF(C893="","",VLOOKUP(C893,Compte!$A$3:$B$346,2,0))</f>
        <v/>
      </c>
      <c r="I893" s="1043" t="str">
        <f>IF(D893="","",VLOOKUP(D893,Compte!$A$3:$B$346,2,0))</f>
        <v/>
      </c>
    </row>
    <row r="894" spans="1:9">
      <c r="A894" s="1206"/>
      <c r="B894" s="606"/>
      <c r="C894" s="1046"/>
      <c r="D894" s="1048"/>
      <c r="E894" s="1068"/>
      <c r="F894" s="1044"/>
      <c r="G894" s="1077">
        <f t="shared" si="13"/>
        <v>0</v>
      </c>
      <c r="H894" s="1042" t="str">
        <f>IF(C894="","",VLOOKUP(C894,Compte!$A$3:$B$346,2,0))</f>
        <v/>
      </c>
      <c r="I894" s="1043" t="str">
        <f>IF(D894="","",VLOOKUP(D894,Compte!$A$3:$B$346,2,0))</f>
        <v/>
      </c>
    </row>
    <row r="895" spans="1:9">
      <c r="A895" s="1206"/>
      <c r="B895" s="606"/>
      <c r="C895" s="1046"/>
      <c r="D895" s="1048"/>
      <c r="E895" s="1068"/>
      <c r="F895" s="1044"/>
      <c r="G895" s="1077">
        <f t="shared" si="13"/>
        <v>0</v>
      </c>
      <c r="H895" s="1042" t="str">
        <f>IF(C895="","",VLOOKUP(C895,Compte!$A$3:$B$346,2,0))</f>
        <v/>
      </c>
      <c r="I895" s="1043" t="str">
        <f>IF(D895="","",VLOOKUP(D895,Compte!$A$3:$B$346,2,0))</f>
        <v/>
      </c>
    </row>
    <row r="896" spans="1:9">
      <c r="A896" s="1206"/>
      <c r="B896" s="606"/>
      <c r="C896" s="1046"/>
      <c r="D896" s="1048"/>
      <c r="E896" s="1068"/>
      <c r="F896" s="1044"/>
      <c r="G896" s="1077">
        <f t="shared" si="13"/>
        <v>0</v>
      </c>
      <c r="H896" s="1042" t="str">
        <f>IF(C896="","",VLOOKUP(C896,Compte!$A$3:$B$346,2,0))</f>
        <v/>
      </c>
      <c r="I896" s="1043" t="str">
        <f>IF(D896="","",VLOOKUP(D896,Compte!$A$3:$B$346,2,0))</f>
        <v/>
      </c>
    </row>
    <row r="897" spans="1:9">
      <c r="A897" s="1206"/>
      <c r="B897" s="606"/>
      <c r="C897" s="1046"/>
      <c r="D897" s="1048"/>
      <c r="E897" s="1068"/>
      <c r="F897" s="1044"/>
      <c r="G897" s="1077">
        <f t="shared" si="13"/>
        <v>0</v>
      </c>
      <c r="H897" s="1042" t="str">
        <f>IF(C897="","",VLOOKUP(C897,Compte!$A$3:$B$346,2,0))</f>
        <v/>
      </c>
      <c r="I897" s="1043" t="str">
        <f>IF(D897="","",VLOOKUP(D897,Compte!$A$3:$B$346,2,0))</f>
        <v/>
      </c>
    </row>
    <row r="898" spans="1:9">
      <c r="A898" s="1206"/>
      <c r="B898" s="606"/>
      <c r="C898" s="1046"/>
      <c r="D898" s="1048"/>
      <c r="E898" s="1068"/>
      <c r="F898" s="1044"/>
      <c r="G898" s="1077">
        <f t="shared" si="13"/>
        <v>0</v>
      </c>
      <c r="H898" s="1042" t="str">
        <f>IF(C898="","",VLOOKUP(C898,Compte!$A$3:$B$346,2,0))</f>
        <v/>
      </c>
      <c r="I898" s="1043" t="str">
        <f>IF(D898="","",VLOOKUP(D898,Compte!$A$3:$B$346,2,0))</f>
        <v/>
      </c>
    </row>
    <row r="899" spans="1:9">
      <c r="A899" s="1206"/>
      <c r="B899" s="606"/>
      <c r="C899" s="1046"/>
      <c r="D899" s="1048"/>
      <c r="E899" s="1068"/>
      <c r="F899" s="1044"/>
      <c r="G899" s="1077">
        <f t="shared" si="13"/>
        <v>0</v>
      </c>
      <c r="H899" s="1042" t="str">
        <f>IF(C899="","",VLOOKUP(C899,Compte!$A$3:$B$346,2,0))</f>
        <v/>
      </c>
      <c r="I899" s="1043" t="str">
        <f>IF(D899="","",VLOOKUP(D899,Compte!$A$3:$B$346,2,0))</f>
        <v/>
      </c>
    </row>
    <row r="900" spans="1:9">
      <c r="A900" s="1206"/>
      <c r="B900" s="606"/>
      <c r="C900" s="1046"/>
      <c r="D900" s="1048"/>
      <c r="E900" s="1068"/>
      <c r="F900" s="1044"/>
      <c r="G900" s="1077">
        <f t="shared" si="13"/>
        <v>0</v>
      </c>
      <c r="H900" s="1042" t="str">
        <f>IF(C900="","",VLOOKUP(C900,Compte!$A$3:$B$346,2,0))</f>
        <v/>
      </c>
      <c r="I900" s="1043" t="str">
        <f>IF(D900="","",VLOOKUP(D900,Compte!$A$3:$B$346,2,0))</f>
        <v/>
      </c>
    </row>
    <row r="901" spans="1:9">
      <c r="A901" s="1206"/>
      <c r="B901" s="606"/>
      <c r="C901" s="1046"/>
      <c r="D901" s="1048"/>
      <c r="E901" s="1068"/>
      <c r="F901" s="1044"/>
      <c r="G901" s="1077">
        <f t="shared" si="13"/>
        <v>0</v>
      </c>
      <c r="H901" s="1042" t="str">
        <f>IF(C901="","",VLOOKUP(C901,Compte!$A$3:$B$346,2,0))</f>
        <v/>
      </c>
      <c r="I901" s="1043" t="str">
        <f>IF(D901="","",VLOOKUP(D901,Compte!$A$3:$B$346,2,0))</f>
        <v/>
      </c>
    </row>
    <row r="902" spans="1:9">
      <c r="A902" s="1206"/>
      <c r="B902" s="606"/>
      <c r="C902" s="1046"/>
      <c r="D902" s="1048"/>
      <c r="E902" s="1068"/>
      <c r="F902" s="1044"/>
      <c r="G902" s="1077">
        <f t="shared" si="13"/>
        <v>0</v>
      </c>
      <c r="H902" s="1042" t="str">
        <f>IF(C902="","",VLOOKUP(C902,Compte!$A$3:$B$346,2,0))</f>
        <v/>
      </c>
      <c r="I902" s="1043" t="str">
        <f>IF(D902="","",VLOOKUP(D902,Compte!$A$3:$B$346,2,0))</f>
        <v/>
      </c>
    </row>
    <row r="903" spans="1:9">
      <c r="A903" s="1206"/>
      <c r="B903" s="606"/>
      <c r="C903" s="1046"/>
      <c r="D903" s="1048"/>
      <c r="E903" s="1068"/>
      <c r="F903" s="1044"/>
      <c r="G903" s="1077">
        <f t="shared" si="13"/>
        <v>0</v>
      </c>
      <c r="H903" s="1042" t="str">
        <f>IF(C903="","",VLOOKUP(C903,Compte!$A$3:$B$346,2,0))</f>
        <v/>
      </c>
      <c r="I903" s="1043" t="str">
        <f>IF(D903="","",VLOOKUP(D903,Compte!$A$3:$B$346,2,0))</f>
        <v/>
      </c>
    </row>
    <row r="904" spans="1:9">
      <c r="A904" s="1206"/>
      <c r="B904" s="606"/>
      <c r="C904" s="1046"/>
      <c r="D904" s="1048"/>
      <c r="E904" s="1068"/>
      <c r="F904" s="1044"/>
      <c r="G904" s="1077">
        <f t="shared" ref="G904:G967" si="14">IF(C904="",F904,E904)</f>
        <v>0</v>
      </c>
      <c r="H904" s="1042" t="str">
        <f>IF(C904="","",VLOOKUP(C904,Compte!$A$3:$B$346,2,0))</f>
        <v/>
      </c>
      <c r="I904" s="1043" t="str">
        <f>IF(D904="","",VLOOKUP(D904,Compte!$A$3:$B$346,2,0))</f>
        <v/>
      </c>
    </row>
    <row r="905" spans="1:9">
      <c r="A905" s="1206"/>
      <c r="B905" s="606"/>
      <c r="C905" s="1046"/>
      <c r="D905" s="1048"/>
      <c r="E905" s="1068"/>
      <c r="F905" s="1044"/>
      <c r="G905" s="1077">
        <f t="shared" si="14"/>
        <v>0</v>
      </c>
      <c r="H905" s="1042" t="str">
        <f>IF(C905="","",VLOOKUP(C905,Compte!$A$3:$B$346,2,0))</f>
        <v/>
      </c>
      <c r="I905" s="1043" t="str">
        <f>IF(D905="","",VLOOKUP(D905,Compte!$A$3:$B$346,2,0))</f>
        <v/>
      </c>
    </row>
    <row r="906" spans="1:9">
      <c r="A906" s="1206"/>
      <c r="B906" s="606"/>
      <c r="C906" s="1046"/>
      <c r="D906" s="1048"/>
      <c r="E906" s="1068"/>
      <c r="F906" s="1044"/>
      <c r="G906" s="1077">
        <f t="shared" si="14"/>
        <v>0</v>
      </c>
      <c r="H906" s="1042" t="str">
        <f>IF(C906="","",VLOOKUP(C906,Compte!$A$3:$B$346,2,0))</f>
        <v/>
      </c>
      <c r="I906" s="1043" t="str">
        <f>IF(D906="","",VLOOKUP(D906,Compte!$A$3:$B$346,2,0))</f>
        <v/>
      </c>
    </row>
    <row r="907" spans="1:9">
      <c r="A907" s="1206"/>
      <c r="B907" s="606"/>
      <c r="C907" s="1046"/>
      <c r="D907" s="1048"/>
      <c r="E907" s="1068"/>
      <c r="F907" s="1044"/>
      <c r="G907" s="1077">
        <f t="shared" si="14"/>
        <v>0</v>
      </c>
      <c r="H907" s="1042" t="str">
        <f>IF(C907="","",VLOOKUP(C907,Compte!$A$3:$B$346,2,0))</f>
        <v/>
      </c>
      <c r="I907" s="1043" t="str">
        <f>IF(D907="","",VLOOKUP(D907,Compte!$A$3:$B$346,2,0))</f>
        <v/>
      </c>
    </row>
    <row r="908" spans="1:9">
      <c r="A908" s="1206"/>
      <c r="B908" s="606"/>
      <c r="C908" s="1046"/>
      <c r="D908" s="1048"/>
      <c r="E908" s="1068"/>
      <c r="F908" s="1044"/>
      <c r="G908" s="1077">
        <f t="shared" si="14"/>
        <v>0</v>
      </c>
      <c r="H908" s="1042" t="str">
        <f>IF(C908="","",VLOOKUP(C908,Compte!$A$3:$B$346,2,0))</f>
        <v/>
      </c>
      <c r="I908" s="1043" t="str">
        <f>IF(D908="","",VLOOKUP(D908,Compte!$A$3:$B$346,2,0))</f>
        <v/>
      </c>
    </row>
    <row r="909" spans="1:9">
      <c r="A909" s="1206"/>
      <c r="B909" s="606"/>
      <c r="C909" s="1046"/>
      <c r="D909" s="1048"/>
      <c r="E909" s="1068"/>
      <c r="F909" s="1044"/>
      <c r="G909" s="1077">
        <f t="shared" si="14"/>
        <v>0</v>
      </c>
      <c r="H909" s="1042" t="str">
        <f>IF(C909="","",VLOOKUP(C909,Compte!$A$3:$B$346,2,0))</f>
        <v/>
      </c>
      <c r="I909" s="1043" t="str">
        <f>IF(D909="","",VLOOKUP(D909,Compte!$A$3:$B$346,2,0))</f>
        <v/>
      </c>
    </row>
    <row r="910" spans="1:9">
      <c r="A910" s="1206"/>
      <c r="B910" s="606"/>
      <c r="C910" s="1046"/>
      <c r="D910" s="1048"/>
      <c r="E910" s="1068"/>
      <c r="F910" s="1044"/>
      <c r="G910" s="1077">
        <f t="shared" si="14"/>
        <v>0</v>
      </c>
      <c r="H910" s="1042" t="str">
        <f>IF(C910="","",VLOOKUP(C910,Compte!$A$3:$B$346,2,0))</f>
        <v/>
      </c>
      <c r="I910" s="1043" t="str">
        <f>IF(D910="","",VLOOKUP(D910,Compte!$A$3:$B$346,2,0))</f>
        <v/>
      </c>
    </row>
    <row r="911" spans="1:9">
      <c r="A911" s="1206"/>
      <c r="B911" s="606"/>
      <c r="C911" s="1046"/>
      <c r="D911" s="1048"/>
      <c r="E911" s="1068"/>
      <c r="F911" s="1044"/>
      <c r="G911" s="1077">
        <f t="shared" si="14"/>
        <v>0</v>
      </c>
      <c r="H911" s="1042" t="str">
        <f>IF(C911="","",VLOOKUP(C911,Compte!$A$3:$B$346,2,0))</f>
        <v/>
      </c>
      <c r="I911" s="1043" t="str">
        <f>IF(D911="","",VLOOKUP(D911,Compte!$A$3:$B$346,2,0))</f>
        <v/>
      </c>
    </row>
    <row r="912" spans="1:9">
      <c r="A912" s="1206"/>
      <c r="B912" s="606"/>
      <c r="C912" s="1046"/>
      <c r="D912" s="1048"/>
      <c r="E912" s="1068"/>
      <c r="F912" s="1044"/>
      <c r="G912" s="1077">
        <f t="shared" si="14"/>
        <v>0</v>
      </c>
      <c r="H912" s="1042" t="str">
        <f>IF(C912="","",VLOOKUP(C912,Compte!$A$3:$B$346,2,0))</f>
        <v/>
      </c>
      <c r="I912" s="1043" t="str">
        <f>IF(D912="","",VLOOKUP(D912,Compte!$A$3:$B$346,2,0))</f>
        <v/>
      </c>
    </row>
    <row r="913" spans="1:9">
      <c r="A913" s="1206"/>
      <c r="B913" s="606"/>
      <c r="C913" s="1046"/>
      <c r="D913" s="1048"/>
      <c r="E913" s="1068"/>
      <c r="F913" s="1044"/>
      <c r="G913" s="1077">
        <f t="shared" si="14"/>
        <v>0</v>
      </c>
      <c r="H913" s="1042" t="str">
        <f>IF(C913="","",VLOOKUP(C913,Compte!$A$3:$B$346,2,0))</f>
        <v/>
      </c>
      <c r="I913" s="1043" t="str">
        <f>IF(D913="","",VLOOKUP(D913,Compte!$A$3:$B$346,2,0))</f>
        <v/>
      </c>
    </row>
    <row r="914" spans="1:9">
      <c r="A914" s="1206"/>
      <c r="B914" s="606"/>
      <c r="C914" s="1046"/>
      <c r="D914" s="1048"/>
      <c r="E914" s="1068"/>
      <c r="F914" s="1044"/>
      <c r="G914" s="1077">
        <f t="shared" si="14"/>
        <v>0</v>
      </c>
      <c r="H914" s="1042" t="str">
        <f>IF(C914="","",VLOOKUP(C914,Compte!$A$3:$B$346,2,0))</f>
        <v/>
      </c>
      <c r="I914" s="1043" t="str">
        <f>IF(D914="","",VLOOKUP(D914,Compte!$A$3:$B$346,2,0))</f>
        <v/>
      </c>
    </row>
    <row r="915" spans="1:9">
      <c r="A915" s="1206"/>
      <c r="B915" s="606"/>
      <c r="C915" s="1046"/>
      <c r="D915" s="1048"/>
      <c r="E915" s="1068"/>
      <c r="F915" s="1044"/>
      <c r="G915" s="1077">
        <f t="shared" si="14"/>
        <v>0</v>
      </c>
      <c r="H915" s="1042" t="str">
        <f>IF(C915="","",VLOOKUP(C915,Compte!$A$3:$B$346,2,0))</f>
        <v/>
      </c>
      <c r="I915" s="1043" t="str">
        <f>IF(D915="","",VLOOKUP(D915,Compte!$A$3:$B$346,2,0))</f>
        <v/>
      </c>
    </row>
    <row r="916" spans="1:9">
      <c r="A916" s="1206"/>
      <c r="B916" s="606"/>
      <c r="C916" s="1046"/>
      <c r="D916" s="1048"/>
      <c r="E916" s="1068"/>
      <c r="F916" s="1044"/>
      <c r="G916" s="1077">
        <f t="shared" si="14"/>
        <v>0</v>
      </c>
      <c r="H916" s="1042" t="str">
        <f>IF(C916="","",VLOOKUP(C916,Compte!$A$3:$B$346,2,0))</f>
        <v/>
      </c>
      <c r="I916" s="1043" t="str">
        <f>IF(D916="","",VLOOKUP(D916,Compte!$A$3:$B$346,2,0))</f>
        <v/>
      </c>
    </row>
    <row r="917" spans="1:9">
      <c r="A917" s="1206"/>
      <c r="B917" s="606"/>
      <c r="C917" s="1046"/>
      <c r="D917" s="1048"/>
      <c r="E917" s="1068"/>
      <c r="F917" s="1044"/>
      <c r="G917" s="1077">
        <f t="shared" si="14"/>
        <v>0</v>
      </c>
      <c r="H917" s="1042" t="str">
        <f>IF(C917="","",VLOOKUP(C917,Compte!$A$3:$B$346,2,0))</f>
        <v/>
      </c>
      <c r="I917" s="1043" t="str">
        <f>IF(D917="","",VLOOKUP(D917,Compte!$A$3:$B$346,2,0))</f>
        <v/>
      </c>
    </row>
    <row r="918" spans="1:9">
      <c r="A918" s="1206"/>
      <c r="B918" s="606"/>
      <c r="C918" s="1046"/>
      <c r="D918" s="1048"/>
      <c r="E918" s="1068"/>
      <c r="F918" s="1044"/>
      <c r="G918" s="1077">
        <f t="shared" si="14"/>
        <v>0</v>
      </c>
      <c r="H918" s="1042" t="str">
        <f>IF(C918="","",VLOOKUP(C918,Compte!$A$3:$B$346,2,0))</f>
        <v/>
      </c>
      <c r="I918" s="1043" t="str">
        <f>IF(D918="","",VLOOKUP(D918,Compte!$A$3:$B$346,2,0))</f>
        <v/>
      </c>
    </row>
    <row r="919" spans="1:9">
      <c r="A919" s="1206"/>
      <c r="B919" s="606"/>
      <c r="C919" s="1046"/>
      <c r="D919" s="1048"/>
      <c r="E919" s="1068"/>
      <c r="F919" s="1044"/>
      <c r="G919" s="1077">
        <f t="shared" si="14"/>
        <v>0</v>
      </c>
      <c r="H919" s="1042" t="str">
        <f>IF(C919="","",VLOOKUP(C919,Compte!$A$3:$B$346,2,0))</f>
        <v/>
      </c>
      <c r="I919" s="1043" t="str">
        <f>IF(D919="","",VLOOKUP(D919,Compte!$A$3:$B$346,2,0))</f>
        <v/>
      </c>
    </row>
    <row r="920" spans="1:9">
      <c r="A920" s="1206"/>
      <c r="B920" s="606"/>
      <c r="C920" s="1046"/>
      <c r="D920" s="1048"/>
      <c r="E920" s="1068"/>
      <c r="F920" s="1044"/>
      <c r="G920" s="1077">
        <f t="shared" si="14"/>
        <v>0</v>
      </c>
      <c r="H920" s="1042" t="str">
        <f>IF(C920="","",VLOOKUP(C920,Compte!$A$3:$B$346,2,0))</f>
        <v/>
      </c>
      <c r="I920" s="1043" t="str">
        <f>IF(D920="","",VLOOKUP(D920,Compte!$A$3:$B$346,2,0))</f>
        <v/>
      </c>
    </row>
    <row r="921" spans="1:9">
      <c r="A921" s="1206"/>
      <c r="B921" s="606"/>
      <c r="C921" s="1046"/>
      <c r="D921" s="1048"/>
      <c r="E921" s="1068"/>
      <c r="F921" s="1044"/>
      <c r="G921" s="1077">
        <f t="shared" si="14"/>
        <v>0</v>
      </c>
      <c r="H921" s="1042" t="str">
        <f>IF(C921="","",VLOOKUP(C921,Compte!$A$3:$B$346,2,0))</f>
        <v/>
      </c>
      <c r="I921" s="1043" t="str">
        <f>IF(D921="","",VLOOKUP(D921,Compte!$A$3:$B$346,2,0))</f>
        <v/>
      </c>
    </row>
    <row r="922" spans="1:9">
      <c r="A922" s="1206"/>
      <c r="B922" s="606"/>
      <c r="C922" s="1046"/>
      <c r="D922" s="1048"/>
      <c r="E922" s="1068"/>
      <c r="F922" s="1044"/>
      <c r="G922" s="1077">
        <f t="shared" si="14"/>
        <v>0</v>
      </c>
      <c r="H922" s="1042" t="str">
        <f>IF(C922="","",VLOOKUP(C922,Compte!$A$3:$B$346,2,0))</f>
        <v/>
      </c>
      <c r="I922" s="1043" t="str">
        <f>IF(D922="","",VLOOKUP(D922,Compte!$A$3:$B$346,2,0))</f>
        <v/>
      </c>
    </row>
    <row r="923" spans="1:9">
      <c r="A923" s="1206"/>
      <c r="B923" s="606"/>
      <c r="C923" s="1046"/>
      <c r="D923" s="1048"/>
      <c r="E923" s="1068"/>
      <c r="F923" s="1044"/>
      <c r="G923" s="1077">
        <f t="shared" si="14"/>
        <v>0</v>
      </c>
      <c r="H923" s="1042" t="str">
        <f>IF(C923="","",VLOOKUP(C923,Compte!$A$3:$B$346,2,0))</f>
        <v/>
      </c>
      <c r="I923" s="1043" t="str">
        <f>IF(D923="","",VLOOKUP(D923,Compte!$A$3:$B$346,2,0))</f>
        <v/>
      </c>
    </row>
    <row r="924" spans="1:9">
      <c r="A924" s="1206"/>
      <c r="B924" s="606"/>
      <c r="C924" s="1046"/>
      <c r="D924" s="1048"/>
      <c r="E924" s="1068"/>
      <c r="F924" s="1044"/>
      <c r="G924" s="1077">
        <f t="shared" si="14"/>
        <v>0</v>
      </c>
      <c r="H924" s="1042" t="str">
        <f>IF(C924="","",VLOOKUP(C924,Compte!$A$3:$B$346,2,0))</f>
        <v/>
      </c>
      <c r="I924" s="1043" t="str">
        <f>IF(D924="","",VLOOKUP(D924,Compte!$A$3:$B$346,2,0))</f>
        <v/>
      </c>
    </row>
    <row r="925" spans="1:9">
      <c r="A925" s="1206"/>
      <c r="B925" s="606"/>
      <c r="C925" s="1046"/>
      <c r="D925" s="1048"/>
      <c r="E925" s="1068"/>
      <c r="F925" s="1044"/>
      <c r="G925" s="1077">
        <f t="shared" si="14"/>
        <v>0</v>
      </c>
      <c r="H925" s="1042" t="str">
        <f>IF(C925="","",VLOOKUP(C925,Compte!$A$3:$B$346,2,0))</f>
        <v/>
      </c>
      <c r="I925" s="1043" t="str">
        <f>IF(D925="","",VLOOKUP(D925,Compte!$A$3:$B$346,2,0))</f>
        <v/>
      </c>
    </row>
    <row r="926" spans="1:9">
      <c r="A926" s="1206"/>
      <c r="B926" s="606"/>
      <c r="C926" s="1046"/>
      <c r="D926" s="1048"/>
      <c r="E926" s="1068"/>
      <c r="F926" s="1044"/>
      <c r="G926" s="1077">
        <f t="shared" si="14"/>
        <v>0</v>
      </c>
      <c r="H926" s="1042" t="str">
        <f>IF(C926="","",VLOOKUP(C926,Compte!$A$3:$B$346,2,0))</f>
        <v/>
      </c>
      <c r="I926" s="1043" t="str">
        <f>IF(D926="","",VLOOKUP(D926,Compte!$A$3:$B$346,2,0))</f>
        <v/>
      </c>
    </row>
    <row r="927" spans="1:9">
      <c r="A927" s="1206"/>
      <c r="B927" s="606"/>
      <c r="C927" s="1046"/>
      <c r="D927" s="1048"/>
      <c r="E927" s="1068"/>
      <c r="F927" s="1044"/>
      <c r="G927" s="1077">
        <f t="shared" si="14"/>
        <v>0</v>
      </c>
      <c r="H927" s="1042" t="str">
        <f>IF(C927="","",VLOOKUP(C927,Compte!$A$3:$B$346,2,0))</f>
        <v/>
      </c>
      <c r="I927" s="1043" t="str">
        <f>IF(D927="","",VLOOKUP(D927,Compte!$A$3:$B$346,2,0))</f>
        <v/>
      </c>
    </row>
    <row r="928" spans="1:9">
      <c r="A928" s="1206"/>
      <c r="B928" s="606"/>
      <c r="C928" s="1046"/>
      <c r="D928" s="1048"/>
      <c r="E928" s="1068"/>
      <c r="F928" s="1044"/>
      <c r="G928" s="1077">
        <f t="shared" si="14"/>
        <v>0</v>
      </c>
      <c r="H928" s="1042" t="str">
        <f>IF(C928="","",VLOOKUP(C928,Compte!$A$3:$B$346,2,0))</f>
        <v/>
      </c>
      <c r="I928" s="1043" t="str">
        <f>IF(D928="","",VLOOKUP(D928,Compte!$A$3:$B$346,2,0))</f>
        <v/>
      </c>
    </row>
    <row r="929" spans="1:9">
      <c r="A929" s="1206"/>
      <c r="B929" s="606"/>
      <c r="C929" s="1046"/>
      <c r="D929" s="1048"/>
      <c r="E929" s="1068"/>
      <c r="F929" s="1044"/>
      <c r="G929" s="1077">
        <f t="shared" si="14"/>
        <v>0</v>
      </c>
      <c r="H929" s="1042" t="str">
        <f>IF(C929="","",VLOOKUP(C929,Compte!$A$3:$B$346,2,0))</f>
        <v/>
      </c>
      <c r="I929" s="1043" t="str">
        <f>IF(D929="","",VLOOKUP(D929,Compte!$A$3:$B$346,2,0))</f>
        <v/>
      </c>
    </row>
    <row r="930" spans="1:9">
      <c r="A930" s="1206"/>
      <c r="B930" s="606"/>
      <c r="C930" s="1046"/>
      <c r="D930" s="1048"/>
      <c r="E930" s="1068"/>
      <c r="F930" s="1044"/>
      <c r="G930" s="1077">
        <f t="shared" si="14"/>
        <v>0</v>
      </c>
      <c r="H930" s="1042" t="str">
        <f>IF(C930="","",VLOOKUP(C930,Compte!$A$3:$B$346,2,0))</f>
        <v/>
      </c>
      <c r="I930" s="1043" t="str">
        <f>IF(D930="","",VLOOKUP(D930,Compte!$A$3:$B$346,2,0))</f>
        <v/>
      </c>
    </row>
    <row r="931" spans="1:9">
      <c r="A931" s="1206"/>
      <c r="B931" s="606"/>
      <c r="C931" s="1046"/>
      <c r="D931" s="1048"/>
      <c r="E931" s="1068"/>
      <c r="F931" s="1044"/>
      <c r="G931" s="1077">
        <f t="shared" si="14"/>
        <v>0</v>
      </c>
      <c r="H931" s="1042" t="str">
        <f>IF(C931="","",VLOOKUP(C931,Compte!$A$3:$B$346,2,0))</f>
        <v/>
      </c>
      <c r="I931" s="1043" t="str">
        <f>IF(D931="","",VLOOKUP(D931,Compte!$A$3:$B$346,2,0))</f>
        <v/>
      </c>
    </row>
    <row r="932" spans="1:9">
      <c r="A932" s="1206"/>
      <c r="B932" s="606"/>
      <c r="C932" s="1046"/>
      <c r="D932" s="1048"/>
      <c r="E932" s="1068"/>
      <c r="F932" s="1044"/>
      <c r="G932" s="1077">
        <f t="shared" si="14"/>
        <v>0</v>
      </c>
      <c r="H932" s="1042" t="str">
        <f>IF(C932="","",VLOOKUP(C932,Compte!$A$3:$B$346,2,0))</f>
        <v/>
      </c>
      <c r="I932" s="1043" t="str">
        <f>IF(D932="","",VLOOKUP(D932,Compte!$A$3:$B$346,2,0))</f>
        <v/>
      </c>
    </row>
    <row r="933" spans="1:9">
      <c r="A933" s="1206"/>
      <c r="B933" s="606"/>
      <c r="C933" s="1046"/>
      <c r="D933" s="1048"/>
      <c r="E933" s="1068"/>
      <c r="F933" s="1044"/>
      <c r="G933" s="1077">
        <f t="shared" si="14"/>
        <v>0</v>
      </c>
      <c r="H933" s="1042" t="str">
        <f>IF(C933="","",VLOOKUP(C933,Compte!$A$3:$B$346,2,0))</f>
        <v/>
      </c>
      <c r="I933" s="1043" t="str">
        <f>IF(D933="","",VLOOKUP(D933,Compte!$A$3:$B$346,2,0))</f>
        <v/>
      </c>
    </row>
    <row r="934" spans="1:9">
      <c r="A934" s="1206"/>
      <c r="B934" s="606"/>
      <c r="C934" s="1046"/>
      <c r="D934" s="1048"/>
      <c r="E934" s="1068"/>
      <c r="F934" s="1044"/>
      <c r="G934" s="1077">
        <f t="shared" si="14"/>
        <v>0</v>
      </c>
      <c r="H934" s="1042" t="str">
        <f>IF(C934="","",VLOOKUP(C934,Compte!$A$3:$B$346,2,0))</f>
        <v/>
      </c>
      <c r="I934" s="1043" t="str">
        <f>IF(D934="","",VLOOKUP(D934,Compte!$A$3:$B$346,2,0))</f>
        <v/>
      </c>
    </row>
    <row r="935" spans="1:9">
      <c r="A935" s="1206"/>
      <c r="B935" s="606"/>
      <c r="C935" s="1046"/>
      <c r="D935" s="1048"/>
      <c r="E935" s="1068"/>
      <c r="F935" s="1044"/>
      <c r="G935" s="1077">
        <f t="shared" si="14"/>
        <v>0</v>
      </c>
      <c r="H935" s="1042" t="str">
        <f>IF(C935="","",VLOOKUP(C935,Compte!$A$3:$B$346,2,0))</f>
        <v/>
      </c>
      <c r="I935" s="1043" t="str">
        <f>IF(D935="","",VLOOKUP(D935,Compte!$A$3:$B$346,2,0))</f>
        <v/>
      </c>
    </row>
    <row r="936" spans="1:9">
      <c r="A936" s="1206"/>
      <c r="B936" s="606"/>
      <c r="C936" s="1046"/>
      <c r="D936" s="1048"/>
      <c r="E936" s="1068"/>
      <c r="F936" s="1044"/>
      <c r="G936" s="1077">
        <f t="shared" si="14"/>
        <v>0</v>
      </c>
      <c r="H936" s="1042" t="str">
        <f>IF(C936="","",VLOOKUP(C936,Compte!$A$3:$B$346,2,0))</f>
        <v/>
      </c>
      <c r="I936" s="1043" t="str">
        <f>IF(D936="","",VLOOKUP(D936,Compte!$A$3:$B$346,2,0))</f>
        <v/>
      </c>
    </row>
    <row r="937" spans="1:9">
      <c r="A937" s="1206"/>
      <c r="B937" s="606"/>
      <c r="C937" s="1046"/>
      <c r="D937" s="1048"/>
      <c r="E937" s="1068"/>
      <c r="F937" s="1044"/>
      <c r="G937" s="1077">
        <f t="shared" si="14"/>
        <v>0</v>
      </c>
      <c r="H937" s="1042" t="str">
        <f>IF(C937="","",VLOOKUP(C937,Compte!$A$3:$B$346,2,0))</f>
        <v/>
      </c>
      <c r="I937" s="1043" t="str">
        <f>IF(D937="","",VLOOKUP(D937,Compte!$A$3:$B$346,2,0))</f>
        <v/>
      </c>
    </row>
    <row r="938" spans="1:9">
      <c r="A938" s="1206"/>
      <c r="B938" s="606"/>
      <c r="C938" s="1046"/>
      <c r="D938" s="1048"/>
      <c r="E938" s="1068"/>
      <c r="F938" s="1044"/>
      <c r="G938" s="1077">
        <f t="shared" si="14"/>
        <v>0</v>
      </c>
      <c r="H938" s="1042" t="str">
        <f>IF(C938="","",VLOOKUP(C938,Compte!$A$3:$B$346,2,0))</f>
        <v/>
      </c>
      <c r="I938" s="1043" t="str">
        <f>IF(D938="","",VLOOKUP(D938,Compte!$A$3:$B$346,2,0))</f>
        <v/>
      </c>
    </row>
    <row r="939" spans="1:9">
      <c r="A939" s="1206"/>
      <c r="B939" s="606"/>
      <c r="C939" s="1046"/>
      <c r="D939" s="1048"/>
      <c r="E939" s="1068"/>
      <c r="F939" s="1044"/>
      <c r="G939" s="1077">
        <f t="shared" si="14"/>
        <v>0</v>
      </c>
      <c r="H939" s="1042" t="str">
        <f>IF(C939="","",VLOOKUP(C939,Compte!$A$3:$B$346,2,0))</f>
        <v/>
      </c>
      <c r="I939" s="1043" t="str">
        <f>IF(D939="","",VLOOKUP(D939,Compte!$A$3:$B$346,2,0))</f>
        <v/>
      </c>
    </row>
    <row r="940" spans="1:9">
      <c r="A940" s="1206"/>
      <c r="B940" s="606"/>
      <c r="C940" s="1046"/>
      <c r="D940" s="1048"/>
      <c r="E940" s="1068"/>
      <c r="F940" s="1044"/>
      <c r="G940" s="1077">
        <f t="shared" si="14"/>
        <v>0</v>
      </c>
      <c r="H940" s="1042" t="str">
        <f>IF(C940="","",VLOOKUP(C940,Compte!$A$3:$B$346,2,0))</f>
        <v/>
      </c>
      <c r="I940" s="1043" t="str">
        <f>IF(D940="","",VLOOKUP(D940,Compte!$A$3:$B$346,2,0))</f>
        <v/>
      </c>
    </row>
    <row r="941" spans="1:9">
      <c r="A941" s="1206"/>
      <c r="B941" s="606"/>
      <c r="C941" s="1046"/>
      <c r="D941" s="1048"/>
      <c r="E941" s="1068"/>
      <c r="F941" s="1044"/>
      <c r="G941" s="1077">
        <f t="shared" si="14"/>
        <v>0</v>
      </c>
      <c r="H941" s="1042" t="str">
        <f>IF(C941="","",VLOOKUP(C941,Compte!$A$3:$B$346,2,0))</f>
        <v/>
      </c>
      <c r="I941" s="1043" t="str">
        <f>IF(D941="","",VLOOKUP(D941,Compte!$A$3:$B$346,2,0))</f>
        <v/>
      </c>
    </row>
    <row r="942" spans="1:9">
      <c r="A942" s="1206"/>
      <c r="B942" s="606"/>
      <c r="C942" s="1046"/>
      <c r="D942" s="1048"/>
      <c r="E942" s="1068"/>
      <c r="F942" s="1044"/>
      <c r="G942" s="1077">
        <f t="shared" si="14"/>
        <v>0</v>
      </c>
      <c r="H942" s="1042" t="str">
        <f>IF(C942="","",VLOOKUP(C942,Compte!$A$3:$B$346,2,0))</f>
        <v/>
      </c>
      <c r="I942" s="1043" t="str">
        <f>IF(D942="","",VLOOKUP(D942,Compte!$A$3:$B$346,2,0))</f>
        <v/>
      </c>
    </row>
    <row r="943" spans="1:9">
      <c r="A943" s="1206"/>
      <c r="B943" s="606"/>
      <c r="C943" s="1046"/>
      <c r="D943" s="1048"/>
      <c r="E943" s="1068"/>
      <c r="F943" s="1044"/>
      <c r="G943" s="1077">
        <f t="shared" si="14"/>
        <v>0</v>
      </c>
      <c r="H943" s="1042" t="str">
        <f>IF(C943="","",VLOOKUP(C943,Compte!$A$3:$B$346,2,0))</f>
        <v/>
      </c>
      <c r="I943" s="1043" t="str">
        <f>IF(D943="","",VLOOKUP(D943,Compte!$A$3:$B$346,2,0))</f>
        <v/>
      </c>
    </row>
    <row r="944" spans="1:9">
      <c r="A944" s="1206"/>
      <c r="B944" s="606"/>
      <c r="C944" s="1046"/>
      <c r="D944" s="1048"/>
      <c r="E944" s="1068"/>
      <c r="F944" s="1044"/>
      <c r="G944" s="1077">
        <f t="shared" si="14"/>
        <v>0</v>
      </c>
      <c r="H944" s="1042" t="str">
        <f>IF(C944="","",VLOOKUP(C944,Compte!$A$3:$B$346,2,0))</f>
        <v/>
      </c>
      <c r="I944" s="1043" t="str">
        <f>IF(D944="","",VLOOKUP(D944,Compte!$A$3:$B$346,2,0))</f>
        <v/>
      </c>
    </row>
    <row r="945" spans="1:9">
      <c r="A945" s="1206"/>
      <c r="B945" s="606"/>
      <c r="C945" s="1046"/>
      <c r="D945" s="1048"/>
      <c r="E945" s="1068"/>
      <c r="F945" s="1044"/>
      <c r="G945" s="1077">
        <f t="shared" si="14"/>
        <v>0</v>
      </c>
      <c r="H945" s="1042" t="str">
        <f>IF(C945="","",VLOOKUP(C945,Compte!$A$3:$B$346,2,0))</f>
        <v/>
      </c>
      <c r="I945" s="1043" t="str">
        <f>IF(D945="","",VLOOKUP(D945,Compte!$A$3:$B$346,2,0))</f>
        <v/>
      </c>
    </row>
    <row r="946" spans="1:9">
      <c r="A946" s="1206"/>
      <c r="B946" s="606"/>
      <c r="C946" s="1046"/>
      <c r="D946" s="1048"/>
      <c r="E946" s="1068"/>
      <c r="F946" s="1044"/>
      <c r="G946" s="1077">
        <f t="shared" si="14"/>
        <v>0</v>
      </c>
      <c r="H946" s="1042" t="str">
        <f>IF(C946="","",VLOOKUP(C946,Compte!$A$3:$B$346,2,0))</f>
        <v/>
      </c>
      <c r="I946" s="1043" t="str">
        <f>IF(D946="","",VLOOKUP(D946,Compte!$A$3:$B$346,2,0))</f>
        <v/>
      </c>
    </row>
    <row r="947" spans="1:9">
      <c r="A947" s="1206"/>
      <c r="B947" s="606"/>
      <c r="C947" s="1046"/>
      <c r="D947" s="1048"/>
      <c r="E947" s="1068"/>
      <c r="F947" s="1044"/>
      <c r="G947" s="1077">
        <f t="shared" si="14"/>
        <v>0</v>
      </c>
      <c r="H947" s="1042" t="str">
        <f>IF(C947="","",VLOOKUP(C947,Compte!$A$3:$B$346,2,0))</f>
        <v/>
      </c>
      <c r="I947" s="1043" t="str">
        <f>IF(D947="","",VLOOKUP(D947,Compte!$A$3:$B$346,2,0))</f>
        <v/>
      </c>
    </row>
    <row r="948" spans="1:9">
      <c r="A948" s="1206"/>
      <c r="B948" s="606"/>
      <c r="C948" s="1046"/>
      <c r="D948" s="1048"/>
      <c r="E948" s="1068"/>
      <c r="F948" s="1044"/>
      <c r="G948" s="1077">
        <f t="shared" si="14"/>
        <v>0</v>
      </c>
      <c r="H948" s="1042" t="str">
        <f>IF(C948="","",VLOOKUP(C948,Compte!$A$3:$B$346,2,0))</f>
        <v/>
      </c>
      <c r="I948" s="1043" t="str">
        <f>IF(D948="","",VLOOKUP(D948,Compte!$A$3:$B$346,2,0))</f>
        <v/>
      </c>
    </row>
    <row r="949" spans="1:9">
      <c r="A949" s="1206"/>
      <c r="B949" s="606"/>
      <c r="C949" s="1046"/>
      <c r="D949" s="1048"/>
      <c r="E949" s="1068"/>
      <c r="F949" s="1044"/>
      <c r="G949" s="1077">
        <f t="shared" si="14"/>
        <v>0</v>
      </c>
      <c r="H949" s="1042" t="str">
        <f>IF(C949="","",VLOOKUP(C949,Compte!$A$3:$B$346,2,0))</f>
        <v/>
      </c>
      <c r="I949" s="1043" t="str">
        <f>IF(D949="","",VLOOKUP(D949,Compte!$A$3:$B$346,2,0))</f>
        <v/>
      </c>
    </row>
    <row r="950" spans="1:9">
      <c r="A950" s="1206"/>
      <c r="B950" s="606"/>
      <c r="C950" s="1046"/>
      <c r="D950" s="1048"/>
      <c r="E950" s="1068"/>
      <c r="F950" s="1044"/>
      <c r="G950" s="1077">
        <f t="shared" si="14"/>
        <v>0</v>
      </c>
      <c r="H950" s="1042" t="str">
        <f>IF(C950="","",VLOOKUP(C950,Compte!$A$3:$B$346,2,0))</f>
        <v/>
      </c>
      <c r="I950" s="1043" t="str">
        <f>IF(D950="","",VLOOKUP(D950,Compte!$A$3:$B$346,2,0))</f>
        <v/>
      </c>
    </row>
    <row r="951" spans="1:9">
      <c r="A951" s="1206"/>
      <c r="B951" s="606"/>
      <c r="C951" s="1046"/>
      <c r="D951" s="1048"/>
      <c r="E951" s="1068"/>
      <c r="F951" s="1044"/>
      <c r="G951" s="1077">
        <f t="shared" si="14"/>
        <v>0</v>
      </c>
      <c r="H951" s="1042" t="str">
        <f>IF(C951="","",VLOOKUP(C951,Compte!$A$3:$B$346,2,0))</f>
        <v/>
      </c>
      <c r="I951" s="1043" t="str">
        <f>IF(D951="","",VLOOKUP(D951,Compte!$A$3:$B$346,2,0))</f>
        <v/>
      </c>
    </row>
    <row r="952" spans="1:9">
      <c r="A952" s="1206"/>
      <c r="B952" s="606"/>
      <c r="C952" s="1046"/>
      <c r="D952" s="1048"/>
      <c r="E952" s="1068"/>
      <c r="F952" s="1044"/>
      <c r="G952" s="1077">
        <f t="shared" si="14"/>
        <v>0</v>
      </c>
      <c r="H952" s="1042" t="str">
        <f>IF(C952="","",VLOOKUP(C952,Compte!$A$3:$B$346,2,0))</f>
        <v/>
      </c>
      <c r="I952" s="1043" t="str">
        <f>IF(D952="","",VLOOKUP(D952,Compte!$A$3:$B$346,2,0))</f>
        <v/>
      </c>
    </row>
    <row r="953" spans="1:9">
      <c r="A953" s="1206"/>
      <c r="B953" s="606"/>
      <c r="C953" s="1046"/>
      <c r="D953" s="1048"/>
      <c r="E953" s="1068"/>
      <c r="F953" s="1044"/>
      <c r="G953" s="1077">
        <f t="shared" si="14"/>
        <v>0</v>
      </c>
      <c r="H953" s="1042" t="str">
        <f>IF(C953="","",VLOOKUP(C953,Compte!$A$3:$B$346,2,0))</f>
        <v/>
      </c>
      <c r="I953" s="1043" t="str">
        <f>IF(D953="","",VLOOKUP(D953,Compte!$A$3:$B$346,2,0))</f>
        <v/>
      </c>
    </row>
    <row r="954" spans="1:9">
      <c r="A954" s="1206"/>
      <c r="B954" s="606"/>
      <c r="C954" s="1046"/>
      <c r="D954" s="1048"/>
      <c r="E954" s="1068"/>
      <c r="F954" s="1044"/>
      <c r="G954" s="1077">
        <f t="shared" si="14"/>
        <v>0</v>
      </c>
      <c r="H954" s="1042" t="str">
        <f>IF(C954="","",VLOOKUP(C954,Compte!$A$3:$B$346,2,0))</f>
        <v/>
      </c>
      <c r="I954" s="1043" t="str">
        <f>IF(D954="","",VLOOKUP(D954,Compte!$A$3:$B$346,2,0))</f>
        <v/>
      </c>
    </row>
    <row r="955" spans="1:9">
      <c r="A955" s="1206"/>
      <c r="B955" s="606"/>
      <c r="C955" s="1046"/>
      <c r="D955" s="1048"/>
      <c r="E955" s="1068"/>
      <c r="F955" s="1044"/>
      <c r="G955" s="1077">
        <f t="shared" si="14"/>
        <v>0</v>
      </c>
      <c r="H955" s="1042" t="str">
        <f>IF(C955="","",VLOOKUP(C955,Compte!$A$3:$B$346,2,0))</f>
        <v/>
      </c>
      <c r="I955" s="1043" t="str">
        <f>IF(D955="","",VLOOKUP(D955,Compte!$A$3:$B$346,2,0))</f>
        <v/>
      </c>
    </row>
    <row r="956" spans="1:9">
      <c r="A956" s="1206"/>
      <c r="B956" s="606"/>
      <c r="C956" s="1046"/>
      <c r="D956" s="1048"/>
      <c r="E956" s="1068"/>
      <c r="F956" s="1044"/>
      <c r="G956" s="1077">
        <f t="shared" si="14"/>
        <v>0</v>
      </c>
      <c r="H956" s="1042" t="str">
        <f>IF(C956="","",VLOOKUP(C956,Compte!$A$3:$B$346,2,0))</f>
        <v/>
      </c>
      <c r="I956" s="1043" t="str">
        <f>IF(D956="","",VLOOKUP(D956,Compte!$A$3:$B$346,2,0))</f>
        <v/>
      </c>
    </row>
    <row r="957" spans="1:9">
      <c r="A957" s="1206"/>
      <c r="B957" s="606"/>
      <c r="C957" s="1046"/>
      <c r="D957" s="1048"/>
      <c r="E957" s="1068"/>
      <c r="F957" s="1044"/>
      <c r="G957" s="1077">
        <f t="shared" si="14"/>
        <v>0</v>
      </c>
      <c r="H957" s="1042" t="str">
        <f>IF(C957="","",VLOOKUP(C957,Compte!$A$3:$B$346,2,0))</f>
        <v/>
      </c>
      <c r="I957" s="1043" t="str">
        <f>IF(D957="","",VLOOKUP(D957,Compte!$A$3:$B$346,2,0))</f>
        <v/>
      </c>
    </row>
    <row r="958" spans="1:9">
      <c r="A958" s="1206"/>
      <c r="B958" s="606"/>
      <c r="C958" s="1046"/>
      <c r="D958" s="1048"/>
      <c r="E958" s="1068"/>
      <c r="F958" s="1044"/>
      <c r="G958" s="1077">
        <f t="shared" si="14"/>
        <v>0</v>
      </c>
      <c r="H958" s="1042" t="str">
        <f>IF(C958="","",VLOOKUP(C958,Compte!$A$3:$B$346,2,0))</f>
        <v/>
      </c>
      <c r="I958" s="1043" t="str">
        <f>IF(D958="","",VLOOKUP(D958,Compte!$A$3:$B$346,2,0))</f>
        <v/>
      </c>
    </row>
    <row r="959" spans="1:9">
      <c r="A959" s="1206"/>
      <c r="B959" s="606"/>
      <c r="C959" s="1046"/>
      <c r="D959" s="1048"/>
      <c r="E959" s="1068"/>
      <c r="F959" s="1044"/>
      <c r="G959" s="1077">
        <f t="shared" si="14"/>
        <v>0</v>
      </c>
      <c r="H959" s="1042" t="str">
        <f>IF(C959="","",VLOOKUP(C959,Compte!$A$3:$B$346,2,0))</f>
        <v/>
      </c>
      <c r="I959" s="1043" t="str">
        <f>IF(D959="","",VLOOKUP(D959,Compte!$A$3:$B$346,2,0))</f>
        <v/>
      </c>
    </row>
    <row r="960" spans="1:9">
      <c r="A960" s="1206"/>
      <c r="B960" s="606"/>
      <c r="C960" s="1046"/>
      <c r="D960" s="1048"/>
      <c r="E960" s="1068"/>
      <c r="F960" s="1044"/>
      <c r="G960" s="1077">
        <f t="shared" si="14"/>
        <v>0</v>
      </c>
      <c r="H960" s="1042" t="str">
        <f>IF(C960="","",VLOOKUP(C960,Compte!$A$3:$B$346,2,0))</f>
        <v/>
      </c>
      <c r="I960" s="1043" t="str">
        <f>IF(D960="","",VLOOKUP(D960,Compte!$A$3:$B$346,2,0))</f>
        <v/>
      </c>
    </row>
    <row r="961" spans="1:9">
      <c r="A961" s="1206"/>
      <c r="B961" s="606"/>
      <c r="C961" s="1046"/>
      <c r="D961" s="1048"/>
      <c r="E961" s="1068"/>
      <c r="F961" s="1044"/>
      <c r="G961" s="1077">
        <f t="shared" si="14"/>
        <v>0</v>
      </c>
      <c r="H961" s="1042" t="str">
        <f>IF(C961="","",VLOOKUP(C961,Compte!$A$3:$B$346,2,0))</f>
        <v/>
      </c>
      <c r="I961" s="1043" t="str">
        <f>IF(D961="","",VLOOKUP(D961,Compte!$A$3:$B$346,2,0))</f>
        <v/>
      </c>
    </row>
    <row r="962" spans="1:9">
      <c r="A962" s="1206"/>
      <c r="B962" s="606"/>
      <c r="C962" s="1046"/>
      <c r="D962" s="1048"/>
      <c r="E962" s="1068"/>
      <c r="F962" s="1044"/>
      <c r="G962" s="1077">
        <f t="shared" si="14"/>
        <v>0</v>
      </c>
      <c r="H962" s="1042" t="str">
        <f>IF(C962="","",VLOOKUP(C962,Compte!$A$3:$B$346,2,0))</f>
        <v/>
      </c>
      <c r="I962" s="1043" t="str">
        <f>IF(D962="","",VLOOKUP(D962,Compte!$A$3:$B$346,2,0))</f>
        <v/>
      </c>
    </row>
    <row r="963" spans="1:9">
      <c r="A963" s="1206"/>
      <c r="B963" s="606"/>
      <c r="C963" s="1046"/>
      <c r="D963" s="1048"/>
      <c r="E963" s="1068"/>
      <c r="F963" s="1044"/>
      <c r="G963" s="1077">
        <f t="shared" si="14"/>
        <v>0</v>
      </c>
      <c r="H963" s="1042" t="str">
        <f>IF(C963="","",VLOOKUP(C963,Compte!$A$3:$B$346,2,0))</f>
        <v/>
      </c>
      <c r="I963" s="1043" t="str">
        <f>IF(D963="","",VLOOKUP(D963,Compte!$A$3:$B$346,2,0))</f>
        <v/>
      </c>
    </row>
    <row r="964" spans="1:9">
      <c r="A964" s="1206"/>
      <c r="B964" s="606"/>
      <c r="C964" s="1046"/>
      <c r="D964" s="1048"/>
      <c r="E964" s="1068"/>
      <c r="F964" s="1044"/>
      <c r="G964" s="1077">
        <f t="shared" si="14"/>
        <v>0</v>
      </c>
      <c r="H964" s="1042" t="str">
        <f>IF(C964="","",VLOOKUP(C964,Compte!$A$3:$B$346,2,0))</f>
        <v/>
      </c>
      <c r="I964" s="1043" t="str">
        <f>IF(D964="","",VLOOKUP(D964,Compte!$A$3:$B$346,2,0))</f>
        <v/>
      </c>
    </row>
    <row r="965" spans="1:9">
      <c r="A965" s="1206"/>
      <c r="B965" s="606"/>
      <c r="C965" s="1046"/>
      <c r="D965" s="1048"/>
      <c r="E965" s="1068"/>
      <c r="F965" s="1044"/>
      <c r="G965" s="1077">
        <f t="shared" si="14"/>
        <v>0</v>
      </c>
      <c r="H965" s="1042" t="str">
        <f>IF(C965="","",VLOOKUP(C965,Compte!$A$3:$B$346,2,0))</f>
        <v/>
      </c>
      <c r="I965" s="1043" t="str">
        <f>IF(D965="","",VLOOKUP(D965,Compte!$A$3:$B$346,2,0))</f>
        <v/>
      </c>
    </row>
    <row r="966" spans="1:9">
      <c r="A966" s="1206"/>
      <c r="B966" s="606"/>
      <c r="C966" s="1046"/>
      <c r="D966" s="1048"/>
      <c r="E966" s="1068"/>
      <c r="F966" s="1044"/>
      <c r="G966" s="1077">
        <f t="shared" si="14"/>
        <v>0</v>
      </c>
      <c r="H966" s="1042" t="str">
        <f>IF(C966="","",VLOOKUP(C966,Compte!$A$3:$B$346,2,0))</f>
        <v/>
      </c>
      <c r="I966" s="1043" t="str">
        <f>IF(D966="","",VLOOKUP(D966,Compte!$A$3:$B$346,2,0))</f>
        <v/>
      </c>
    </row>
    <row r="967" spans="1:9">
      <c r="A967" s="1206"/>
      <c r="B967" s="606"/>
      <c r="C967" s="1046"/>
      <c r="D967" s="1048"/>
      <c r="E967" s="1068"/>
      <c r="F967" s="1044"/>
      <c r="G967" s="1077">
        <f t="shared" si="14"/>
        <v>0</v>
      </c>
      <c r="H967" s="1042" t="str">
        <f>IF(C967="","",VLOOKUP(C967,Compte!$A$3:$B$346,2,0))</f>
        <v/>
      </c>
      <c r="I967" s="1043" t="str">
        <f>IF(D967="","",VLOOKUP(D967,Compte!$A$3:$B$346,2,0))</f>
        <v/>
      </c>
    </row>
    <row r="968" spans="1:9">
      <c r="A968" s="1206"/>
      <c r="B968" s="606"/>
      <c r="C968" s="1046"/>
      <c r="D968" s="1048"/>
      <c r="E968" s="1068"/>
      <c r="F968" s="1044"/>
      <c r="G968" s="1077">
        <f t="shared" ref="G968:G1031" si="15">IF(C968="",F968,E968)</f>
        <v>0</v>
      </c>
      <c r="H968" s="1042" t="str">
        <f>IF(C968="","",VLOOKUP(C968,Compte!$A$3:$B$346,2,0))</f>
        <v/>
      </c>
      <c r="I968" s="1043" t="str">
        <f>IF(D968="","",VLOOKUP(D968,Compte!$A$3:$B$346,2,0))</f>
        <v/>
      </c>
    </row>
    <row r="969" spans="1:9">
      <c r="A969" s="1206"/>
      <c r="B969" s="606"/>
      <c r="C969" s="1046"/>
      <c r="D969" s="1048"/>
      <c r="E969" s="1068"/>
      <c r="F969" s="1044"/>
      <c r="G969" s="1077">
        <f t="shared" si="15"/>
        <v>0</v>
      </c>
      <c r="H969" s="1042" t="str">
        <f>IF(C969="","",VLOOKUP(C969,Compte!$A$3:$B$346,2,0))</f>
        <v/>
      </c>
      <c r="I969" s="1043" t="str">
        <f>IF(D969="","",VLOOKUP(D969,Compte!$A$3:$B$346,2,0))</f>
        <v/>
      </c>
    </row>
    <row r="970" spans="1:9">
      <c r="A970" s="1206"/>
      <c r="B970" s="606"/>
      <c r="C970" s="1046"/>
      <c r="D970" s="1048"/>
      <c r="E970" s="1068"/>
      <c r="F970" s="1044"/>
      <c r="G970" s="1077">
        <f t="shared" si="15"/>
        <v>0</v>
      </c>
      <c r="H970" s="1042" t="str">
        <f>IF(C970="","",VLOOKUP(C970,Compte!$A$3:$B$346,2,0))</f>
        <v/>
      </c>
      <c r="I970" s="1043" t="str">
        <f>IF(D970="","",VLOOKUP(D970,Compte!$A$3:$B$346,2,0))</f>
        <v/>
      </c>
    </row>
    <row r="971" spans="1:9">
      <c r="A971" s="1206"/>
      <c r="B971" s="606"/>
      <c r="C971" s="1046"/>
      <c r="D971" s="1048"/>
      <c r="E971" s="1068"/>
      <c r="F971" s="1044"/>
      <c r="G971" s="1077">
        <f t="shared" si="15"/>
        <v>0</v>
      </c>
      <c r="H971" s="1042" t="str">
        <f>IF(C971="","",VLOOKUP(C971,Compte!$A$3:$B$346,2,0))</f>
        <v/>
      </c>
      <c r="I971" s="1043" t="str">
        <f>IF(D971="","",VLOOKUP(D971,Compte!$A$3:$B$346,2,0))</f>
        <v/>
      </c>
    </row>
    <row r="972" spans="1:9">
      <c r="A972" s="1206"/>
      <c r="B972" s="606"/>
      <c r="C972" s="1046"/>
      <c r="D972" s="1048"/>
      <c r="E972" s="1068"/>
      <c r="F972" s="1044"/>
      <c r="G972" s="1077">
        <f t="shared" si="15"/>
        <v>0</v>
      </c>
      <c r="H972" s="1042" t="str">
        <f>IF(C972="","",VLOOKUP(C972,Compte!$A$3:$B$346,2,0))</f>
        <v/>
      </c>
      <c r="I972" s="1043" t="str">
        <f>IF(D972="","",VLOOKUP(D972,Compte!$A$3:$B$346,2,0))</f>
        <v/>
      </c>
    </row>
    <row r="973" spans="1:9">
      <c r="A973" s="1206"/>
      <c r="B973" s="606"/>
      <c r="C973" s="1046"/>
      <c r="D973" s="1048"/>
      <c r="E973" s="1068"/>
      <c r="F973" s="1044"/>
      <c r="G973" s="1077">
        <f t="shared" si="15"/>
        <v>0</v>
      </c>
      <c r="H973" s="1042" t="str">
        <f>IF(C973="","",VLOOKUP(C973,Compte!$A$3:$B$346,2,0))</f>
        <v/>
      </c>
      <c r="I973" s="1043" t="str">
        <f>IF(D973="","",VLOOKUP(D973,Compte!$A$3:$B$346,2,0))</f>
        <v/>
      </c>
    </row>
    <row r="974" spans="1:9">
      <c r="A974" s="1206"/>
      <c r="B974" s="606"/>
      <c r="C974" s="1046"/>
      <c r="D974" s="1048"/>
      <c r="E974" s="1068"/>
      <c r="F974" s="1044"/>
      <c r="G974" s="1077">
        <f t="shared" si="15"/>
        <v>0</v>
      </c>
      <c r="H974" s="1042" t="str">
        <f>IF(C974="","",VLOOKUP(C974,Compte!$A$3:$B$346,2,0))</f>
        <v/>
      </c>
      <c r="I974" s="1043" t="str">
        <f>IF(D974="","",VLOOKUP(D974,Compte!$A$3:$B$346,2,0))</f>
        <v/>
      </c>
    </row>
    <row r="975" spans="1:9">
      <c r="A975" s="1206"/>
      <c r="B975" s="606"/>
      <c r="C975" s="1046"/>
      <c r="D975" s="1048"/>
      <c r="E975" s="1068"/>
      <c r="F975" s="1044"/>
      <c r="G975" s="1077">
        <f t="shared" si="15"/>
        <v>0</v>
      </c>
      <c r="H975" s="1042" t="str">
        <f>IF(C975="","",VLOOKUP(C975,Compte!$A$3:$B$346,2,0))</f>
        <v/>
      </c>
      <c r="I975" s="1043" t="str">
        <f>IF(D975="","",VLOOKUP(D975,Compte!$A$3:$B$346,2,0))</f>
        <v/>
      </c>
    </row>
    <row r="976" spans="1:9">
      <c r="A976" s="1206"/>
      <c r="B976" s="606"/>
      <c r="C976" s="1046"/>
      <c r="D976" s="1048"/>
      <c r="E976" s="1068"/>
      <c r="F976" s="1044"/>
      <c r="G976" s="1077">
        <f t="shared" si="15"/>
        <v>0</v>
      </c>
      <c r="H976" s="1042" t="str">
        <f>IF(C976="","",VLOOKUP(C976,Compte!$A$3:$B$346,2,0))</f>
        <v/>
      </c>
      <c r="I976" s="1043" t="str">
        <f>IF(D976="","",VLOOKUP(D976,Compte!$A$3:$B$346,2,0))</f>
        <v/>
      </c>
    </row>
    <row r="977" spans="1:9">
      <c r="A977" s="1206"/>
      <c r="B977" s="606"/>
      <c r="C977" s="1046"/>
      <c r="D977" s="1048"/>
      <c r="E977" s="1068"/>
      <c r="F977" s="1044"/>
      <c r="G977" s="1077">
        <f t="shared" si="15"/>
        <v>0</v>
      </c>
      <c r="H977" s="1042" t="str">
        <f>IF(C977="","",VLOOKUP(C977,Compte!$A$3:$B$346,2,0))</f>
        <v/>
      </c>
      <c r="I977" s="1043" t="str">
        <f>IF(D977="","",VLOOKUP(D977,Compte!$A$3:$B$346,2,0))</f>
        <v/>
      </c>
    </row>
    <row r="978" spans="1:9">
      <c r="A978" s="1206"/>
      <c r="B978" s="606"/>
      <c r="C978" s="1046"/>
      <c r="D978" s="1048"/>
      <c r="E978" s="1068"/>
      <c r="F978" s="1044"/>
      <c r="G978" s="1077">
        <f t="shared" si="15"/>
        <v>0</v>
      </c>
      <c r="H978" s="1042" t="str">
        <f>IF(C978="","",VLOOKUP(C978,Compte!$A$3:$B$346,2,0))</f>
        <v/>
      </c>
      <c r="I978" s="1043" t="str">
        <f>IF(D978="","",VLOOKUP(D978,Compte!$A$3:$B$346,2,0))</f>
        <v/>
      </c>
    </row>
    <row r="979" spans="1:9">
      <c r="A979" s="1206"/>
      <c r="B979" s="606"/>
      <c r="C979" s="1046"/>
      <c r="D979" s="1048"/>
      <c r="E979" s="1068"/>
      <c r="F979" s="1044"/>
      <c r="G979" s="1077">
        <f t="shared" si="15"/>
        <v>0</v>
      </c>
      <c r="H979" s="1042" t="str">
        <f>IF(C979="","",VLOOKUP(C979,Compte!$A$3:$B$346,2,0))</f>
        <v/>
      </c>
      <c r="I979" s="1043" t="str">
        <f>IF(D979="","",VLOOKUP(D979,Compte!$A$3:$B$346,2,0))</f>
        <v/>
      </c>
    </row>
    <row r="980" spans="1:9">
      <c r="A980" s="1206"/>
      <c r="B980" s="606"/>
      <c r="C980" s="1046"/>
      <c r="D980" s="1048"/>
      <c r="E980" s="1068"/>
      <c r="F980" s="1044"/>
      <c r="G980" s="1077">
        <f t="shared" si="15"/>
        <v>0</v>
      </c>
      <c r="H980" s="1042" t="str">
        <f>IF(C980="","",VLOOKUP(C980,Compte!$A$3:$B$346,2,0))</f>
        <v/>
      </c>
      <c r="I980" s="1043" t="str">
        <f>IF(D980="","",VLOOKUP(D980,Compte!$A$3:$B$346,2,0))</f>
        <v/>
      </c>
    </row>
    <row r="981" spans="1:9">
      <c r="A981" s="1206"/>
      <c r="B981" s="606"/>
      <c r="C981" s="1046"/>
      <c r="D981" s="1048"/>
      <c r="E981" s="1068"/>
      <c r="F981" s="1044"/>
      <c r="G981" s="1077">
        <f t="shared" si="15"/>
        <v>0</v>
      </c>
      <c r="H981" s="1042" t="str">
        <f>IF(C981="","",VLOOKUP(C981,Compte!$A$3:$B$346,2,0))</f>
        <v/>
      </c>
      <c r="I981" s="1043" t="str">
        <f>IF(D981="","",VLOOKUP(D981,Compte!$A$3:$B$346,2,0))</f>
        <v/>
      </c>
    </row>
    <row r="982" spans="1:9">
      <c r="A982" s="1206"/>
      <c r="B982" s="606"/>
      <c r="C982" s="1046"/>
      <c r="D982" s="1048"/>
      <c r="E982" s="1068"/>
      <c r="F982" s="1044"/>
      <c r="G982" s="1077">
        <f t="shared" si="15"/>
        <v>0</v>
      </c>
      <c r="H982" s="1042" t="str">
        <f>IF(C982="","",VLOOKUP(C982,Compte!$A$3:$B$346,2,0))</f>
        <v/>
      </c>
      <c r="I982" s="1043" t="str">
        <f>IF(D982="","",VLOOKUP(D982,Compte!$A$3:$B$346,2,0))</f>
        <v/>
      </c>
    </row>
    <row r="983" spans="1:9">
      <c r="A983" s="1206"/>
      <c r="B983" s="606"/>
      <c r="C983" s="1046"/>
      <c r="D983" s="1048"/>
      <c r="E983" s="1068"/>
      <c r="F983" s="1044"/>
      <c r="G983" s="1077">
        <f t="shared" si="15"/>
        <v>0</v>
      </c>
      <c r="H983" s="1042" t="str">
        <f>IF(C983="","",VLOOKUP(C983,Compte!$A$3:$B$346,2,0))</f>
        <v/>
      </c>
      <c r="I983" s="1043" t="str">
        <f>IF(D983="","",VLOOKUP(D983,Compte!$A$3:$B$346,2,0))</f>
        <v/>
      </c>
    </row>
    <row r="984" spans="1:9">
      <c r="A984" s="1206"/>
      <c r="B984" s="606"/>
      <c r="C984" s="1046"/>
      <c r="D984" s="1048"/>
      <c r="E984" s="1068"/>
      <c r="F984" s="1044"/>
      <c r="G984" s="1077">
        <f t="shared" si="15"/>
        <v>0</v>
      </c>
      <c r="H984" s="1042" t="str">
        <f>IF(C984="","",VLOOKUP(C984,Compte!$A$3:$B$346,2,0))</f>
        <v/>
      </c>
      <c r="I984" s="1043" t="str">
        <f>IF(D984="","",VLOOKUP(D984,Compte!$A$3:$B$346,2,0))</f>
        <v/>
      </c>
    </row>
    <row r="985" spans="1:9">
      <c r="A985" s="1206"/>
      <c r="B985" s="606"/>
      <c r="C985" s="1046"/>
      <c r="D985" s="1048"/>
      <c r="E985" s="1068"/>
      <c r="F985" s="1044"/>
      <c r="G985" s="1077">
        <f t="shared" si="15"/>
        <v>0</v>
      </c>
      <c r="H985" s="1042" t="str">
        <f>IF(C985="","",VLOOKUP(C985,Compte!$A$3:$B$346,2,0))</f>
        <v/>
      </c>
      <c r="I985" s="1043" t="str">
        <f>IF(D985="","",VLOOKUP(D985,Compte!$A$3:$B$346,2,0))</f>
        <v/>
      </c>
    </row>
    <row r="986" spans="1:9">
      <c r="A986" s="1206"/>
      <c r="B986" s="606"/>
      <c r="C986" s="1046"/>
      <c r="D986" s="1048"/>
      <c r="E986" s="1068"/>
      <c r="F986" s="1044"/>
      <c r="G986" s="1077">
        <f t="shared" si="15"/>
        <v>0</v>
      </c>
      <c r="H986" s="1042" t="str">
        <f>IF(C986="","",VLOOKUP(C986,Compte!$A$3:$B$346,2,0))</f>
        <v/>
      </c>
      <c r="I986" s="1043" t="str">
        <f>IF(D986="","",VLOOKUP(D986,Compte!$A$3:$B$346,2,0))</f>
        <v/>
      </c>
    </row>
    <row r="987" spans="1:9">
      <c r="A987" s="1206"/>
      <c r="B987" s="606"/>
      <c r="C987" s="1046"/>
      <c r="D987" s="1048"/>
      <c r="E987" s="1068"/>
      <c r="F987" s="1044"/>
      <c r="G987" s="1077">
        <f t="shared" si="15"/>
        <v>0</v>
      </c>
      <c r="H987" s="1042" t="str">
        <f>IF(C987="","",VLOOKUP(C987,Compte!$A$3:$B$346,2,0))</f>
        <v/>
      </c>
      <c r="I987" s="1043" t="str">
        <f>IF(D987="","",VLOOKUP(D987,Compte!$A$3:$B$346,2,0))</f>
        <v/>
      </c>
    </row>
    <row r="988" spans="1:9">
      <c r="A988" s="1206"/>
      <c r="B988" s="606"/>
      <c r="C988" s="1046"/>
      <c r="D988" s="1048"/>
      <c r="E988" s="1068"/>
      <c r="F988" s="1044"/>
      <c r="G988" s="1077">
        <f t="shared" si="15"/>
        <v>0</v>
      </c>
      <c r="H988" s="1042" t="str">
        <f>IF(C988="","",VLOOKUP(C988,Compte!$A$3:$B$346,2,0))</f>
        <v/>
      </c>
      <c r="I988" s="1043" t="str">
        <f>IF(D988="","",VLOOKUP(D988,Compte!$A$3:$B$346,2,0))</f>
        <v/>
      </c>
    </row>
    <row r="989" spans="1:9">
      <c r="A989" s="1206"/>
      <c r="B989" s="606"/>
      <c r="C989" s="1046"/>
      <c r="D989" s="1048"/>
      <c r="E989" s="1068"/>
      <c r="F989" s="1044"/>
      <c r="G989" s="1077">
        <f t="shared" si="15"/>
        <v>0</v>
      </c>
      <c r="H989" s="1042" t="str">
        <f>IF(C989="","",VLOOKUP(C989,Compte!$A$3:$B$346,2,0))</f>
        <v/>
      </c>
      <c r="I989" s="1043" t="str">
        <f>IF(D989="","",VLOOKUP(D989,Compte!$A$3:$B$346,2,0))</f>
        <v/>
      </c>
    </row>
    <row r="990" spans="1:9">
      <c r="A990" s="1206"/>
      <c r="B990" s="606"/>
      <c r="C990" s="1046"/>
      <c r="D990" s="1048"/>
      <c r="E990" s="1068"/>
      <c r="F990" s="1044"/>
      <c r="G990" s="1077">
        <f t="shared" si="15"/>
        <v>0</v>
      </c>
      <c r="H990" s="1042" t="str">
        <f>IF(C990="","",VLOOKUP(C990,Compte!$A$3:$B$346,2,0))</f>
        <v/>
      </c>
      <c r="I990" s="1043" t="str">
        <f>IF(D990="","",VLOOKUP(D990,Compte!$A$3:$B$346,2,0))</f>
        <v/>
      </c>
    </row>
    <row r="991" spans="1:9">
      <c r="A991" s="1206"/>
      <c r="B991" s="606"/>
      <c r="C991" s="1046"/>
      <c r="D991" s="1048"/>
      <c r="E991" s="1068"/>
      <c r="F991" s="1044"/>
      <c r="G991" s="1077">
        <f t="shared" si="15"/>
        <v>0</v>
      </c>
      <c r="H991" s="1042" t="str">
        <f>IF(C991="","",VLOOKUP(C991,Compte!$A$3:$B$346,2,0))</f>
        <v/>
      </c>
      <c r="I991" s="1043" t="str">
        <f>IF(D991="","",VLOOKUP(D991,Compte!$A$3:$B$346,2,0))</f>
        <v/>
      </c>
    </row>
    <row r="992" spans="1:9">
      <c r="A992" s="1206"/>
      <c r="B992" s="606"/>
      <c r="C992" s="1046"/>
      <c r="D992" s="1048"/>
      <c r="E992" s="1068"/>
      <c r="F992" s="1044"/>
      <c r="G992" s="1077">
        <f t="shared" si="15"/>
        <v>0</v>
      </c>
      <c r="H992" s="1042" t="str">
        <f>IF(C992="","",VLOOKUP(C992,Compte!$A$3:$B$346,2,0))</f>
        <v/>
      </c>
      <c r="I992" s="1043" t="str">
        <f>IF(D992="","",VLOOKUP(D992,Compte!$A$3:$B$346,2,0))</f>
        <v/>
      </c>
    </row>
    <row r="993" spans="1:9">
      <c r="A993" s="1206"/>
      <c r="B993" s="606"/>
      <c r="C993" s="1046"/>
      <c r="D993" s="1048"/>
      <c r="E993" s="1068"/>
      <c r="F993" s="1044"/>
      <c r="G993" s="1077">
        <f t="shared" si="15"/>
        <v>0</v>
      </c>
      <c r="H993" s="1042" t="str">
        <f>IF(C993="","",VLOOKUP(C993,Compte!$A$3:$B$346,2,0))</f>
        <v/>
      </c>
      <c r="I993" s="1043" t="str">
        <f>IF(D993="","",VLOOKUP(D993,Compte!$A$3:$B$346,2,0))</f>
        <v/>
      </c>
    </row>
    <row r="994" spans="1:9">
      <c r="A994" s="1206"/>
      <c r="B994" s="606"/>
      <c r="C994" s="1046"/>
      <c r="D994" s="1048"/>
      <c r="E994" s="1068"/>
      <c r="F994" s="1044"/>
      <c r="G994" s="1077">
        <f t="shared" si="15"/>
        <v>0</v>
      </c>
      <c r="H994" s="1042" t="str">
        <f>IF(C994="","",VLOOKUP(C994,Compte!$A$3:$B$346,2,0))</f>
        <v/>
      </c>
      <c r="I994" s="1043" t="str">
        <f>IF(D994="","",VLOOKUP(D994,Compte!$A$3:$B$346,2,0))</f>
        <v/>
      </c>
    </row>
    <row r="995" spans="1:9">
      <c r="A995" s="1206"/>
      <c r="B995" s="606"/>
      <c r="C995" s="1046"/>
      <c r="D995" s="1048"/>
      <c r="E995" s="1068"/>
      <c r="F995" s="1044"/>
      <c r="G995" s="1077">
        <f t="shared" si="15"/>
        <v>0</v>
      </c>
      <c r="H995" s="1042" t="str">
        <f>IF(C995="","",VLOOKUP(C995,Compte!$A$3:$B$346,2,0))</f>
        <v/>
      </c>
      <c r="I995" s="1043" t="str">
        <f>IF(D995="","",VLOOKUP(D995,Compte!$A$3:$B$346,2,0))</f>
        <v/>
      </c>
    </row>
    <row r="996" spans="1:9">
      <c r="A996" s="1206"/>
      <c r="B996" s="606"/>
      <c r="C996" s="1046"/>
      <c r="D996" s="1048"/>
      <c r="E996" s="1068"/>
      <c r="F996" s="1044"/>
      <c r="G996" s="1077">
        <f t="shared" si="15"/>
        <v>0</v>
      </c>
      <c r="H996" s="1042" t="str">
        <f>IF(C996="","",VLOOKUP(C996,Compte!$A$3:$B$346,2,0))</f>
        <v/>
      </c>
      <c r="I996" s="1043" t="str">
        <f>IF(D996="","",VLOOKUP(D996,Compte!$A$3:$B$346,2,0))</f>
        <v/>
      </c>
    </row>
    <row r="997" spans="1:9">
      <c r="A997" s="1206"/>
      <c r="B997" s="606"/>
      <c r="C997" s="1046"/>
      <c r="D997" s="1048"/>
      <c r="E997" s="1068"/>
      <c r="F997" s="1044"/>
      <c r="G997" s="1077">
        <f t="shared" si="15"/>
        <v>0</v>
      </c>
      <c r="H997" s="1042" t="str">
        <f>IF(C997="","",VLOOKUP(C997,Compte!$A$3:$B$346,2,0))</f>
        <v/>
      </c>
      <c r="I997" s="1043" t="str">
        <f>IF(D997="","",VLOOKUP(D997,Compte!$A$3:$B$346,2,0))</f>
        <v/>
      </c>
    </row>
    <row r="998" spans="1:9">
      <c r="A998" s="1206"/>
      <c r="B998" s="606"/>
      <c r="C998" s="1046"/>
      <c r="D998" s="1048"/>
      <c r="E998" s="1068"/>
      <c r="F998" s="1044"/>
      <c r="G998" s="1077">
        <f t="shared" si="15"/>
        <v>0</v>
      </c>
      <c r="H998" s="1042" t="str">
        <f>IF(C998="","",VLOOKUP(C998,Compte!$A$3:$B$346,2,0))</f>
        <v/>
      </c>
      <c r="I998" s="1043" t="str">
        <f>IF(D998="","",VLOOKUP(D998,Compte!$A$3:$B$346,2,0))</f>
        <v/>
      </c>
    </row>
    <row r="999" spans="1:9">
      <c r="A999" s="1206"/>
      <c r="B999" s="606"/>
      <c r="C999" s="1046"/>
      <c r="D999" s="1048"/>
      <c r="E999" s="1068"/>
      <c r="F999" s="1044"/>
      <c r="G999" s="1077">
        <f t="shared" si="15"/>
        <v>0</v>
      </c>
      <c r="H999" s="1042" t="str">
        <f>IF(C999="","",VLOOKUP(C999,Compte!$A$3:$B$346,2,0))</f>
        <v/>
      </c>
      <c r="I999" s="1043" t="str">
        <f>IF(D999="","",VLOOKUP(D999,Compte!$A$3:$B$346,2,0))</f>
        <v/>
      </c>
    </row>
    <row r="1000" spans="1:9">
      <c r="A1000" s="1206"/>
      <c r="B1000" s="606"/>
      <c r="C1000" s="1046"/>
      <c r="D1000" s="1048"/>
      <c r="E1000" s="1068"/>
      <c r="F1000" s="1044"/>
      <c r="G1000" s="1077">
        <f t="shared" si="15"/>
        <v>0</v>
      </c>
      <c r="H1000" s="1042" t="str">
        <f>IF(C1000="","",VLOOKUP(C1000,Compte!$A$3:$B$346,2,0))</f>
        <v/>
      </c>
      <c r="I1000" s="1043" t="str">
        <f>IF(D1000="","",VLOOKUP(D1000,Compte!$A$3:$B$346,2,0))</f>
        <v/>
      </c>
    </row>
    <row r="1001" spans="1:9">
      <c r="A1001" s="1206"/>
      <c r="B1001" s="606"/>
      <c r="C1001" s="1046"/>
      <c r="D1001" s="1048"/>
      <c r="E1001" s="1068"/>
      <c r="F1001" s="1044"/>
      <c r="G1001" s="1077">
        <f t="shared" si="15"/>
        <v>0</v>
      </c>
      <c r="H1001" s="1042" t="str">
        <f>IF(C1001="","",VLOOKUP(C1001,Compte!$A$3:$B$346,2,0))</f>
        <v/>
      </c>
      <c r="I1001" s="1043" t="str">
        <f>IF(D1001="","",VLOOKUP(D1001,Compte!$A$3:$B$346,2,0))</f>
        <v/>
      </c>
    </row>
    <row r="1002" spans="1:9">
      <c r="A1002" s="1206"/>
      <c r="B1002" s="606"/>
      <c r="C1002" s="1046"/>
      <c r="D1002" s="1048"/>
      <c r="E1002" s="1068"/>
      <c r="F1002" s="1044"/>
      <c r="G1002" s="1077">
        <f t="shared" si="15"/>
        <v>0</v>
      </c>
      <c r="H1002" s="1042" t="str">
        <f>IF(C1002="","",VLOOKUP(C1002,Compte!$A$3:$B$346,2,0))</f>
        <v/>
      </c>
      <c r="I1002" s="1043" t="str">
        <f>IF(D1002="","",VLOOKUP(D1002,Compte!$A$3:$B$346,2,0))</f>
        <v/>
      </c>
    </row>
    <row r="1003" spans="1:9">
      <c r="A1003" s="1206"/>
      <c r="B1003" s="606"/>
      <c r="C1003" s="1046"/>
      <c r="D1003" s="1048"/>
      <c r="E1003" s="1068"/>
      <c r="F1003" s="1044"/>
      <c r="G1003" s="1077">
        <f t="shared" si="15"/>
        <v>0</v>
      </c>
      <c r="H1003" s="1042" t="str">
        <f>IF(C1003="","",VLOOKUP(C1003,Compte!$A$3:$B$346,2,0))</f>
        <v/>
      </c>
      <c r="I1003" s="1043" t="str">
        <f>IF(D1003="","",VLOOKUP(D1003,Compte!$A$3:$B$346,2,0))</f>
        <v/>
      </c>
    </row>
    <row r="1004" spans="1:9">
      <c r="A1004" s="1206"/>
      <c r="B1004" s="606"/>
      <c r="C1004" s="1046"/>
      <c r="D1004" s="1048"/>
      <c r="E1004" s="1068"/>
      <c r="F1004" s="1044"/>
      <c r="G1004" s="1077">
        <f t="shared" si="15"/>
        <v>0</v>
      </c>
      <c r="H1004" s="1042" t="str">
        <f>IF(C1004="","",VLOOKUP(C1004,Compte!$A$3:$B$346,2,0))</f>
        <v/>
      </c>
      <c r="I1004" s="1043" t="str">
        <f>IF(D1004="","",VLOOKUP(D1004,Compte!$A$3:$B$346,2,0))</f>
        <v/>
      </c>
    </row>
    <row r="1005" spans="1:9">
      <c r="A1005" s="1206"/>
      <c r="B1005" s="606"/>
      <c r="C1005" s="1046"/>
      <c r="D1005" s="1048"/>
      <c r="E1005" s="1068"/>
      <c r="F1005" s="1044"/>
      <c r="G1005" s="1077">
        <f t="shared" si="15"/>
        <v>0</v>
      </c>
      <c r="H1005" s="1042" t="str">
        <f>IF(C1005="","",VLOOKUP(C1005,Compte!$A$3:$B$346,2,0))</f>
        <v/>
      </c>
      <c r="I1005" s="1043" t="str">
        <f>IF(D1005="","",VLOOKUP(D1005,Compte!$A$3:$B$346,2,0))</f>
        <v/>
      </c>
    </row>
    <row r="1006" spans="1:9">
      <c r="A1006" s="1206"/>
      <c r="B1006" s="606"/>
      <c r="C1006" s="1046"/>
      <c r="D1006" s="1048"/>
      <c r="E1006" s="1068"/>
      <c r="F1006" s="1044"/>
      <c r="G1006" s="1077">
        <f t="shared" si="15"/>
        <v>0</v>
      </c>
      <c r="H1006" s="1042" t="str">
        <f>IF(C1006="","",VLOOKUP(C1006,Compte!$A$3:$B$346,2,0))</f>
        <v/>
      </c>
      <c r="I1006" s="1043" t="str">
        <f>IF(D1006="","",VLOOKUP(D1006,Compte!$A$3:$B$346,2,0))</f>
        <v/>
      </c>
    </row>
    <row r="1007" spans="1:9">
      <c r="A1007" s="1206"/>
      <c r="B1007" s="606"/>
      <c r="C1007" s="1046"/>
      <c r="D1007" s="1048"/>
      <c r="E1007" s="1068"/>
      <c r="F1007" s="1044"/>
      <c r="G1007" s="1077">
        <f t="shared" si="15"/>
        <v>0</v>
      </c>
      <c r="H1007" s="1042" t="str">
        <f>IF(C1007="","",VLOOKUP(C1007,Compte!$A$3:$B$346,2,0))</f>
        <v/>
      </c>
      <c r="I1007" s="1043" t="str">
        <f>IF(D1007="","",VLOOKUP(D1007,Compte!$A$3:$B$346,2,0))</f>
        <v/>
      </c>
    </row>
    <row r="1008" spans="1:9">
      <c r="A1008" s="1206"/>
      <c r="B1008" s="606"/>
      <c r="C1008" s="1046"/>
      <c r="D1008" s="1048"/>
      <c r="E1008" s="1068"/>
      <c r="F1008" s="1044"/>
      <c r="G1008" s="1077">
        <f t="shared" si="15"/>
        <v>0</v>
      </c>
      <c r="H1008" s="1042" t="str">
        <f>IF(C1008="","",VLOOKUP(C1008,Compte!$A$3:$B$346,2,0))</f>
        <v/>
      </c>
      <c r="I1008" s="1043" t="str">
        <f>IF(D1008="","",VLOOKUP(D1008,Compte!$A$3:$B$346,2,0))</f>
        <v/>
      </c>
    </row>
    <row r="1009" spans="1:9">
      <c r="A1009" s="1206"/>
      <c r="B1009" s="606"/>
      <c r="C1009" s="1046"/>
      <c r="D1009" s="1048"/>
      <c r="E1009" s="1068"/>
      <c r="F1009" s="1044"/>
      <c r="G1009" s="1077">
        <f t="shared" si="15"/>
        <v>0</v>
      </c>
      <c r="H1009" s="1042" t="str">
        <f>IF(C1009="","",VLOOKUP(C1009,Compte!$A$3:$B$346,2,0))</f>
        <v/>
      </c>
      <c r="I1009" s="1043" t="str">
        <f>IF(D1009="","",VLOOKUP(D1009,Compte!$A$3:$B$346,2,0))</f>
        <v/>
      </c>
    </row>
    <row r="1010" spans="1:9">
      <c r="A1010" s="1206"/>
      <c r="B1010" s="606"/>
      <c r="C1010" s="1046"/>
      <c r="D1010" s="1048"/>
      <c r="E1010" s="1068"/>
      <c r="F1010" s="1044"/>
      <c r="G1010" s="1077">
        <f t="shared" si="15"/>
        <v>0</v>
      </c>
      <c r="H1010" s="1042" t="str">
        <f>IF(C1010="","",VLOOKUP(C1010,Compte!$A$3:$B$346,2,0))</f>
        <v/>
      </c>
      <c r="I1010" s="1043" t="str">
        <f>IF(D1010="","",VLOOKUP(D1010,Compte!$A$3:$B$346,2,0))</f>
        <v/>
      </c>
    </row>
    <row r="1011" spans="1:9">
      <c r="A1011" s="1206"/>
      <c r="B1011" s="606"/>
      <c r="C1011" s="1046"/>
      <c r="D1011" s="1048"/>
      <c r="E1011" s="1068"/>
      <c r="F1011" s="1044"/>
      <c r="G1011" s="1077">
        <f t="shared" si="15"/>
        <v>0</v>
      </c>
      <c r="H1011" s="1042" t="str">
        <f>IF(C1011="","",VLOOKUP(C1011,Compte!$A$3:$B$346,2,0))</f>
        <v/>
      </c>
      <c r="I1011" s="1043" t="str">
        <f>IF(D1011="","",VLOOKUP(D1011,Compte!$A$3:$B$346,2,0))</f>
        <v/>
      </c>
    </row>
    <row r="1012" spans="1:9">
      <c r="A1012" s="1206"/>
      <c r="B1012" s="606"/>
      <c r="C1012" s="1046"/>
      <c r="D1012" s="1048"/>
      <c r="E1012" s="1068"/>
      <c r="F1012" s="1044"/>
      <c r="G1012" s="1077">
        <f t="shared" si="15"/>
        <v>0</v>
      </c>
      <c r="H1012" s="1042" t="str">
        <f>IF(C1012="","",VLOOKUP(C1012,Compte!$A$3:$B$346,2,0))</f>
        <v/>
      </c>
      <c r="I1012" s="1043" t="str">
        <f>IF(D1012="","",VLOOKUP(D1012,Compte!$A$3:$B$346,2,0))</f>
        <v/>
      </c>
    </row>
    <row r="1013" spans="1:9">
      <c r="A1013" s="1206"/>
      <c r="B1013" s="606"/>
      <c r="C1013" s="1046"/>
      <c r="D1013" s="1048"/>
      <c r="E1013" s="1068"/>
      <c r="F1013" s="1044"/>
      <c r="G1013" s="1077">
        <f t="shared" si="15"/>
        <v>0</v>
      </c>
      <c r="H1013" s="1042" t="str">
        <f>IF(C1013="","",VLOOKUP(C1013,Compte!$A$3:$B$346,2,0))</f>
        <v/>
      </c>
      <c r="I1013" s="1043" t="str">
        <f>IF(D1013="","",VLOOKUP(D1013,Compte!$A$3:$B$346,2,0))</f>
        <v/>
      </c>
    </row>
    <row r="1014" spans="1:9">
      <c r="A1014" s="1206"/>
      <c r="B1014" s="606"/>
      <c r="C1014" s="1046"/>
      <c r="D1014" s="1048"/>
      <c r="E1014" s="1068"/>
      <c r="F1014" s="1044"/>
      <c r="G1014" s="1077">
        <f t="shared" si="15"/>
        <v>0</v>
      </c>
      <c r="H1014" s="1042" t="str">
        <f>IF(C1014="","",VLOOKUP(C1014,Compte!$A$3:$B$346,2,0))</f>
        <v/>
      </c>
      <c r="I1014" s="1043" t="str">
        <f>IF(D1014="","",VLOOKUP(D1014,Compte!$A$3:$B$346,2,0))</f>
        <v/>
      </c>
    </row>
    <row r="1015" spans="1:9">
      <c r="A1015" s="1206"/>
      <c r="B1015" s="606"/>
      <c r="C1015" s="1046"/>
      <c r="D1015" s="1048"/>
      <c r="E1015" s="1068"/>
      <c r="F1015" s="1044"/>
      <c r="G1015" s="1077">
        <f t="shared" si="15"/>
        <v>0</v>
      </c>
      <c r="H1015" s="1042" t="str">
        <f>IF(C1015="","",VLOOKUP(C1015,Compte!$A$3:$B$346,2,0))</f>
        <v/>
      </c>
      <c r="I1015" s="1043" t="str">
        <f>IF(D1015="","",VLOOKUP(D1015,Compte!$A$3:$B$346,2,0))</f>
        <v/>
      </c>
    </row>
    <row r="1016" spans="1:9">
      <c r="A1016" s="1206"/>
      <c r="B1016" s="606"/>
      <c r="C1016" s="1046"/>
      <c r="D1016" s="1048"/>
      <c r="E1016" s="1068"/>
      <c r="F1016" s="1044"/>
      <c r="G1016" s="1077">
        <f t="shared" si="15"/>
        <v>0</v>
      </c>
      <c r="H1016" s="1042" t="str">
        <f>IF(C1016="","",VLOOKUP(C1016,Compte!$A$3:$B$346,2,0))</f>
        <v/>
      </c>
      <c r="I1016" s="1043" t="str">
        <f>IF(D1016="","",VLOOKUP(D1016,Compte!$A$3:$B$346,2,0))</f>
        <v/>
      </c>
    </row>
    <row r="1017" spans="1:9">
      <c r="A1017" s="1206"/>
      <c r="B1017" s="606"/>
      <c r="C1017" s="1046"/>
      <c r="D1017" s="1048"/>
      <c r="E1017" s="1068"/>
      <c r="F1017" s="1044"/>
      <c r="G1017" s="1077">
        <f t="shared" si="15"/>
        <v>0</v>
      </c>
      <c r="H1017" s="1042" t="str">
        <f>IF(C1017="","",VLOOKUP(C1017,Compte!$A$3:$B$346,2,0))</f>
        <v/>
      </c>
      <c r="I1017" s="1043" t="str">
        <f>IF(D1017="","",VLOOKUP(D1017,Compte!$A$3:$B$346,2,0))</f>
        <v/>
      </c>
    </row>
    <row r="1018" spans="1:9">
      <c r="A1018" s="1206"/>
      <c r="B1018" s="606"/>
      <c r="C1018" s="1046"/>
      <c r="D1018" s="1048"/>
      <c r="E1018" s="1068"/>
      <c r="F1018" s="1044"/>
      <c r="G1018" s="1077">
        <f t="shared" si="15"/>
        <v>0</v>
      </c>
      <c r="H1018" s="1042" t="str">
        <f>IF(C1018="","",VLOOKUP(C1018,Compte!$A$3:$B$346,2,0))</f>
        <v/>
      </c>
      <c r="I1018" s="1043" t="str">
        <f>IF(D1018="","",VLOOKUP(D1018,Compte!$A$3:$B$346,2,0))</f>
        <v/>
      </c>
    </row>
    <row r="1019" spans="1:9">
      <c r="A1019" s="1206"/>
      <c r="B1019" s="606"/>
      <c r="C1019" s="1046"/>
      <c r="D1019" s="1048"/>
      <c r="E1019" s="1068"/>
      <c r="F1019" s="1044"/>
      <c r="G1019" s="1077">
        <f t="shared" si="15"/>
        <v>0</v>
      </c>
      <c r="H1019" s="1042" t="str">
        <f>IF(C1019="","",VLOOKUP(C1019,Compte!$A$3:$B$346,2,0))</f>
        <v/>
      </c>
      <c r="I1019" s="1043" t="str">
        <f>IF(D1019="","",VLOOKUP(D1019,Compte!$A$3:$B$346,2,0))</f>
        <v/>
      </c>
    </row>
    <row r="1020" spans="1:9">
      <c r="A1020" s="1206"/>
      <c r="B1020" s="606"/>
      <c r="C1020" s="1046"/>
      <c r="D1020" s="1048"/>
      <c r="E1020" s="1068"/>
      <c r="F1020" s="1044"/>
      <c r="G1020" s="1077">
        <f t="shared" si="15"/>
        <v>0</v>
      </c>
      <c r="H1020" s="1042" t="str">
        <f>IF(C1020="","",VLOOKUP(C1020,Compte!$A$3:$B$346,2,0))</f>
        <v/>
      </c>
      <c r="I1020" s="1043" t="str">
        <f>IF(D1020="","",VLOOKUP(D1020,Compte!$A$3:$B$346,2,0))</f>
        <v/>
      </c>
    </row>
    <row r="1021" spans="1:9">
      <c r="A1021" s="1206"/>
      <c r="B1021" s="606"/>
      <c r="C1021" s="1046"/>
      <c r="D1021" s="1048"/>
      <c r="E1021" s="1068"/>
      <c r="F1021" s="1044"/>
      <c r="G1021" s="1077">
        <f t="shared" si="15"/>
        <v>0</v>
      </c>
      <c r="H1021" s="1042" t="str">
        <f>IF(C1021="","",VLOOKUP(C1021,Compte!$A$3:$B$346,2,0))</f>
        <v/>
      </c>
      <c r="I1021" s="1043" t="str">
        <f>IF(D1021="","",VLOOKUP(D1021,Compte!$A$3:$B$346,2,0))</f>
        <v/>
      </c>
    </row>
    <row r="1022" spans="1:9">
      <c r="A1022" s="1206"/>
      <c r="B1022" s="606"/>
      <c r="C1022" s="1046"/>
      <c r="D1022" s="1048"/>
      <c r="E1022" s="1068"/>
      <c r="F1022" s="1044"/>
      <c r="G1022" s="1077">
        <f t="shared" si="15"/>
        <v>0</v>
      </c>
      <c r="H1022" s="1042" t="str">
        <f>IF(C1022="","",VLOOKUP(C1022,Compte!$A$3:$B$346,2,0))</f>
        <v/>
      </c>
      <c r="I1022" s="1043" t="str">
        <f>IF(D1022="","",VLOOKUP(D1022,Compte!$A$3:$B$346,2,0))</f>
        <v/>
      </c>
    </row>
    <row r="1023" spans="1:9">
      <c r="A1023" s="1206"/>
      <c r="B1023" s="606"/>
      <c r="C1023" s="1046"/>
      <c r="D1023" s="1048"/>
      <c r="E1023" s="1068"/>
      <c r="F1023" s="1044"/>
      <c r="G1023" s="1077">
        <f t="shared" si="15"/>
        <v>0</v>
      </c>
      <c r="H1023" s="1042" t="str">
        <f>IF(C1023="","",VLOOKUP(C1023,Compte!$A$3:$B$346,2,0))</f>
        <v/>
      </c>
      <c r="I1023" s="1043" t="str">
        <f>IF(D1023="","",VLOOKUP(D1023,Compte!$A$3:$B$346,2,0))</f>
        <v/>
      </c>
    </row>
    <row r="1024" spans="1:9">
      <c r="A1024" s="1206"/>
      <c r="B1024" s="606"/>
      <c r="C1024" s="1046"/>
      <c r="D1024" s="1048"/>
      <c r="E1024" s="1068"/>
      <c r="F1024" s="1044"/>
      <c r="G1024" s="1077">
        <f t="shared" si="15"/>
        <v>0</v>
      </c>
      <c r="H1024" s="1042" t="str">
        <f>IF(C1024="","",VLOOKUP(C1024,Compte!$A$3:$B$346,2,0))</f>
        <v/>
      </c>
      <c r="I1024" s="1043" t="str">
        <f>IF(D1024="","",VLOOKUP(D1024,Compte!$A$3:$B$346,2,0))</f>
        <v/>
      </c>
    </row>
    <row r="1025" spans="1:9">
      <c r="A1025" s="1206"/>
      <c r="B1025" s="606"/>
      <c r="C1025" s="1046"/>
      <c r="D1025" s="1048"/>
      <c r="E1025" s="1068"/>
      <c r="F1025" s="1044"/>
      <c r="G1025" s="1077">
        <f t="shared" si="15"/>
        <v>0</v>
      </c>
      <c r="H1025" s="1042" t="str">
        <f>IF(C1025="","",VLOOKUP(C1025,Compte!$A$3:$B$346,2,0))</f>
        <v/>
      </c>
      <c r="I1025" s="1043" t="str">
        <f>IF(D1025="","",VLOOKUP(D1025,Compte!$A$3:$B$346,2,0))</f>
        <v/>
      </c>
    </row>
    <row r="1026" spans="1:9">
      <c r="A1026" s="1206"/>
      <c r="B1026" s="606"/>
      <c r="C1026" s="1046"/>
      <c r="D1026" s="1048"/>
      <c r="E1026" s="1068"/>
      <c r="F1026" s="1044"/>
      <c r="G1026" s="1077">
        <f t="shared" si="15"/>
        <v>0</v>
      </c>
      <c r="H1026" s="1042" t="str">
        <f>IF(C1026="","",VLOOKUP(C1026,Compte!$A$3:$B$346,2,0))</f>
        <v/>
      </c>
      <c r="I1026" s="1043" t="str">
        <f>IF(D1026="","",VLOOKUP(D1026,Compte!$A$3:$B$346,2,0))</f>
        <v/>
      </c>
    </row>
    <row r="1027" spans="1:9">
      <c r="A1027" s="1206"/>
      <c r="B1027" s="606"/>
      <c r="C1027" s="1046"/>
      <c r="D1027" s="1048"/>
      <c r="E1027" s="1068"/>
      <c r="F1027" s="1044"/>
      <c r="G1027" s="1077">
        <f t="shared" si="15"/>
        <v>0</v>
      </c>
      <c r="H1027" s="1042" t="str">
        <f>IF(C1027="","",VLOOKUP(C1027,Compte!$A$3:$B$346,2,0))</f>
        <v/>
      </c>
      <c r="I1027" s="1043" t="str">
        <f>IF(D1027="","",VLOOKUP(D1027,Compte!$A$3:$B$346,2,0))</f>
        <v/>
      </c>
    </row>
    <row r="1028" spans="1:9">
      <c r="A1028" s="1206"/>
      <c r="B1028" s="606"/>
      <c r="C1028" s="1046"/>
      <c r="D1028" s="1048"/>
      <c r="E1028" s="1068"/>
      <c r="F1028" s="1044"/>
      <c r="G1028" s="1077">
        <f t="shared" si="15"/>
        <v>0</v>
      </c>
      <c r="H1028" s="1042" t="str">
        <f>IF(C1028="","",VLOOKUP(C1028,Compte!$A$3:$B$346,2,0))</f>
        <v/>
      </c>
      <c r="I1028" s="1043" t="str">
        <f>IF(D1028="","",VLOOKUP(D1028,Compte!$A$3:$B$346,2,0))</f>
        <v/>
      </c>
    </row>
    <row r="1029" spans="1:9">
      <c r="A1029" s="1206"/>
      <c r="B1029" s="606"/>
      <c r="C1029" s="1046"/>
      <c r="D1029" s="1048"/>
      <c r="E1029" s="1068"/>
      <c r="F1029" s="1044"/>
      <c r="G1029" s="1077">
        <f t="shared" si="15"/>
        <v>0</v>
      </c>
      <c r="H1029" s="1042" t="str">
        <f>IF(C1029="","",VLOOKUP(C1029,Compte!$A$3:$B$346,2,0))</f>
        <v/>
      </c>
      <c r="I1029" s="1043" t="str">
        <f>IF(D1029="","",VLOOKUP(D1029,Compte!$A$3:$B$346,2,0))</f>
        <v/>
      </c>
    </row>
    <row r="1030" spans="1:9">
      <c r="A1030" s="1206"/>
      <c r="B1030" s="606"/>
      <c r="C1030" s="1046"/>
      <c r="D1030" s="1048"/>
      <c r="E1030" s="1068"/>
      <c r="F1030" s="1044"/>
      <c r="G1030" s="1077">
        <f t="shared" si="15"/>
        <v>0</v>
      </c>
      <c r="H1030" s="1042" t="str">
        <f>IF(C1030="","",VLOOKUP(C1030,Compte!$A$3:$B$346,2,0))</f>
        <v/>
      </c>
      <c r="I1030" s="1043" t="str">
        <f>IF(D1030="","",VLOOKUP(D1030,Compte!$A$3:$B$346,2,0))</f>
        <v/>
      </c>
    </row>
    <row r="1031" spans="1:9">
      <c r="A1031" s="1206"/>
      <c r="B1031" s="606"/>
      <c r="C1031" s="1046"/>
      <c r="D1031" s="1048"/>
      <c r="E1031" s="1068"/>
      <c r="F1031" s="1044"/>
      <c r="G1031" s="1077">
        <f t="shared" si="15"/>
        <v>0</v>
      </c>
      <c r="H1031" s="1042" t="str">
        <f>IF(C1031="","",VLOOKUP(C1031,Compte!$A$3:$B$346,2,0))</f>
        <v/>
      </c>
      <c r="I1031" s="1043" t="str">
        <f>IF(D1031="","",VLOOKUP(D1031,Compte!$A$3:$B$346,2,0))</f>
        <v/>
      </c>
    </row>
    <row r="1032" spans="1:9">
      <c r="A1032" s="1206"/>
      <c r="B1032" s="606"/>
      <c r="C1032" s="1046"/>
      <c r="D1032" s="1048"/>
      <c r="E1032" s="1068"/>
      <c r="F1032" s="1044"/>
      <c r="G1032" s="1077">
        <f t="shared" ref="G1032:G1095" si="16">IF(C1032="",F1032,E1032)</f>
        <v>0</v>
      </c>
      <c r="H1032" s="1042" t="str">
        <f>IF(C1032="","",VLOOKUP(C1032,Compte!$A$3:$B$346,2,0))</f>
        <v/>
      </c>
      <c r="I1032" s="1043" t="str">
        <f>IF(D1032="","",VLOOKUP(D1032,Compte!$A$3:$B$346,2,0))</f>
        <v/>
      </c>
    </row>
    <row r="1033" spans="1:9">
      <c r="A1033" s="1206"/>
      <c r="B1033" s="606"/>
      <c r="C1033" s="1046"/>
      <c r="D1033" s="1048"/>
      <c r="E1033" s="1068"/>
      <c r="F1033" s="1044"/>
      <c r="G1033" s="1077">
        <f t="shared" si="16"/>
        <v>0</v>
      </c>
      <c r="H1033" s="1042" t="str">
        <f>IF(C1033="","",VLOOKUP(C1033,Compte!$A$3:$B$346,2,0))</f>
        <v/>
      </c>
      <c r="I1033" s="1043" t="str">
        <f>IF(D1033="","",VLOOKUP(D1033,Compte!$A$3:$B$346,2,0))</f>
        <v/>
      </c>
    </row>
    <row r="1034" spans="1:9">
      <c r="A1034" s="1206"/>
      <c r="B1034" s="606"/>
      <c r="C1034" s="1046"/>
      <c r="D1034" s="1048"/>
      <c r="E1034" s="1068"/>
      <c r="F1034" s="1044"/>
      <c r="G1034" s="1077">
        <f t="shared" si="16"/>
        <v>0</v>
      </c>
      <c r="H1034" s="1042" t="str">
        <f>IF(C1034="","",VLOOKUP(C1034,Compte!$A$3:$B$346,2,0))</f>
        <v/>
      </c>
      <c r="I1034" s="1043" t="str">
        <f>IF(D1034="","",VLOOKUP(D1034,Compte!$A$3:$B$346,2,0))</f>
        <v/>
      </c>
    </row>
    <row r="1035" spans="1:9">
      <c r="A1035" s="1206"/>
      <c r="B1035" s="606"/>
      <c r="C1035" s="1046"/>
      <c r="D1035" s="1048"/>
      <c r="E1035" s="1068"/>
      <c r="F1035" s="1044"/>
      <c r="G1035" s="1077">
        <f t="shared" si="16"/>
        <v>0</v>
      </c>
      <c r="H1035" s="1042" t="str">
        <f>IF(C1035="","",VLOOKUP(C1035,Compte!$A$3:$B$346,2,0))</f>
        <v/>
      </c>
      <c r="I1035" s="1043" t="str">
        <f>IF(D1035="","",VLOOKUP(D1035,Compte!$A$3:$B$346,2,0))</f>
        <v/>
      </c>
    </row>
    <row r="1036" spans="1:9">
      <c r="A1036" s="1206"/>
      <c r="B1036" s="606"/>
      <c r="C1036" s="1046"/>
      <c r="D1036" s="1048"/>
      <c r="E1036" s="1068"/>
      <c r="F1036" s="1044"/>
      <c r="G1036" s="1077">
        <f t="shared" si="16"/>
        <v>0</v>
      </c>
      <c r="H1036" s="1042" t="str">
        <f>IF(C1036="","",VLOOKUP(C1036,Compte!$A$3:$B$346,2,0))</f>
        <v/>
      </c>
      <c r="I1036" s="1043" t="str">
        <f>IF(D1036="","",VLOOKUP(D1036,Compte!$A$3:$B$346,2,0))</f>
        <v/>
      </c>
    </row>
    <row r="1037" spans="1:9">
      <c r="A1037" s="1206"/>
      <c r="B1037" s="606"/>
      <c r="C1037" s="1046"/>
      <c r="D1037" s="1048"/>
      <c r="E1037" s="1068"/>
      <c r="F1037" s="1044"/>
      <c r="G1037" s="1077">
        <f t="shared" si="16"/>
        <v>0</v>
      </c>
      <c r="H1037" s="1042" t="str">
        <f>IF(C1037="","",VLOOKUP(C1037,Compte!$A$3:$B$346,2,0))</f>
        <v/>
      </c>
      <c r="I1037" s="1043" t="str">
        <f>IF(D1037="","",VLOOKUP(D1037,Compte!$A$3:$B$346,2,0))</f>
        <v/>
      </c>
    </row>
    <row r="1038" spans="1:9">
      <c r="A1038" s="1206"/>
      <c r="B1038" s="606"/>
      <c r="C1038" s="1046"/>
      <c r="D1038" s="1048"/>
      <c r="E1038" s="1068"/>
      <c r="F1038" s="1044"/>
      <c r="G1038" s="1077">
        <f t="shared" si="16"/>
        <v>0</v>
      </c>
      <c r="H1038" s="1042" t="str">
        <f>IF(C1038="","",VLOOKUP(C1038,Compte!$A$3:$B$346,2,0))</f>
        <v/>
      </c>
      <c r="I1038" s="1043" t="str">
        <f>IF(D1038="","",VLOOKUP(D1038,Compte!$A$3:$B$346,2,0))</f>
        <v/>
      </c>
    </row>
    <row r="1039" spans="1:9">
      <c r="A1039" s="1206"/>
      <c r="B1039" s="606"/>
      <c r="C1039" s="1046"/>
      <c r="D1039" s="1048"/>
      <c r="E1039" s="1068"/>
      <c r="F1039" s="1044"/>
      <c r="G1039" s="1077">
        <f t="shared" si="16"/>
        <v>0</v>
      </c>
      <c r="H1039" s="1042" t="str">
        <f>IF(C1039="","",VLOOKUP(C1039,Compte!$A$3:$B$346,2,0))</f>
        <v/>
      </c>
      <c r="I1039" s="1043" t="str">
        <f>IF(D1039="","",VLOOKUP(D1039,Compte!$A$3:$B$346,2,0))</f>
        <v/>
      </c>
    </row>
    <row r="1040" spans="1:9">
      <c r="A1040" s="1206"/>
      <c r="B1040" s="606"/>
      <c r="C1040" s="1046"/>
      <c r="D1040" s="1048"/>
      <c r="E1040" s="1068"/>
      <c r="F1040" s="1044"/>
      <c r="G1040" s="1077">
        <f t="shared" si="16"/>
        <v>0</v>
      </c>
      <c r="H1040" s="1042" t="str">
        <f>IF(C1040="","",VLOOKUP(C1040,Compte!$A$3:$B$346,2,0))</f>
        <v/>
      </c>
      <c r="I1040" s="1043" t="str">
        <f>IF(D1040="","",VLOOKUP(D1040,Compte!$A$3:$B$346,2,0))</f>
        <v/>
      </c>
    </row>
    <row r="1041" spans="1:9">
      <c r="A1041" s="1206"/>
      <c r="B1041" s="606"/>
      <c r="C1041" s="1046"/>
      <c r="D1041" s="1048"/>
      <c r="E1041" s="1068"/>
      <c r="F1041" s="1044"/>
      <c r="G1041" s="1077">
        <f t="shared" si="16"/>
        <v>0</v>
      </c>
      <c r="H1041" s="1042" t="str">
        <f>IF(C1041="","",VLOOKUP(C1041,Compte!$A$3:$B$346,2,0))</f>
        <v/>
      </c>
      <c r="I1041" s="1043" t="str">
        <f>IF(D1041="","",VLOOKUP(D1041,Compte!$A$3:$B$346,2,0))</f>
        <v/>
      </c>
    </row>
    <row r="1042" spans="1:9">
      <c r="A1042" s="1206"/>
      <c r="B1042" s="606"/>
      <c r="C1042" s="1046"/>
      <c r="D1042" s="1048"/>
      <c r="E1042" s="1068"/>
      <c r="F1042" s="1044"/>
      <c r="G1042" s="1077">
        <f t="shared" si="16"/>
        <v>0</v>
      </c>
      <c r="H1042" s="1042" t="str">
        <f>IF(C1042="","",VLOOKUP(C1042,Compte!$A$3:$B$346,2,0))</f>
        <v/>
      </c>
      <c r="I1042" s="1043" t="str">
        <f>IF(D1042="","",VLOOKUP(D1042,Compte!$A$3:$B$346,2,0))</f>
        <v/>
      </c>
    </row>
    <row r="1043" spans="1:9">
      <c r="A1043" s="1206"/>
      <c r="B1043" s="606"/>
      <c r="C1043" s="1046"/>
      <c r="D1043" s="1048"/>
      <c r="E1043" s="1068"/>
      <c r="F1043" s="1044"/>
      <c r="G1043" s="1077">
        <f t="shared" si="16"/>
        <v>0</v>
      </c>
      <c r="H1043" s="1042" t="str">
        <f>IF(C1043="","",VLOOKUP(C1043,Compte!$A$3:$B$346,2,0))</f>
        <v/>
      </c>
      <c r="I1043" s="1043" t="str">
        <f>IF(D1043="","",VLOOKUP(D1043,Compte!$A$3:$B$346,2,0))</f>
        <v/>
      </c>
    </row>
    <row r="1044" spans="1:9">
      <c r="A1044" s="1206"/>
      <c r="B1044" s="606"/>
      <c r="C1044" s="1046"/>
      <c r="D1044" s="1048"/>
      <c r="E1044" s="1068"/>
      <c r="F1044" s="1044"/>
      <c r="G1044" s="1077">
        <f t="shared" si="16"/>
        <v>0</v>
      </c>
      <c r="H1044" s="1042" t="str">
        <f>IF(C1044="","",VLOOKUP(C1044,Compte!$A$3:$B$346,2,0))</f>
        <v/>
      </c>
      <c r="I1044" s="1043" t="str">
        <f>IF(D1044="","",VLOOKUP(D1044,Compte!$A$3:$B$346,2,0))</f>
        <v/>
      </c>
    </row>
    <row r="1045" spans="1:9">
      <c r="A1045" s="1206"/>
      <c r="B1045" s="606"/>
      <c r="C1045" s="1046"/>
      <c r="D1045" s="1048"/>
      <c r="E1045" s="1068"/>
      <c r="F1045" s="1044"/>
      <c r="G1045" s="1077">
        <f t="shared" si="16"/>
        <v>0</v>
      </c>
      <c r="H1045" s="1042" t="str">
        <f>IF(C1045="","",VLOOKUP(C1045,Compte!$A$3:$B$346,2,0))</f>
        <v/>
      </c>
      <c r="I1045" s="1043" t="str">
        <f>IF(D1045="","",VLOOKUP(D1045,Compte!$A$3:$B$346,2,0))</f>
        <v/>
      </c>
    </row>
    <row r="1046" spans="1:9">
      <c r="A1046" s="1206"/>
      <c r="B1046" s="606"/>
      <c r="C1046" s="1046"/>
      <c r="D1046" s="1048"/>
      <c r="E1046" s="1068"/>
      <c r="F1046" s="1044"/>
      <c r="G1046" s="1077">
        <f t="shared" si="16"/>
        <v>0</v>
      </c>
      <c r="H1046" s="1042" t="str">
        <f>IF(C1046="","",VLOOKUP(C1046,Compte!$A$3:$B$346,2,0))</f>
        <v/>
      </c>
      <c r="I1046" s="1043" t="str">
        <f>IF(D1046="","",VLOOKUP(D1046,Compte!$A$3:$B$346,2,0))</f>
        <v/>
      </c>
    </row>
    <row r="1047" spans="1:9">
      <c r="A1047" s="1206"/>
      <c r="B1047" s="606"/>
      <c r="C1047" s="1046"/>
      <c r="D1047" s="1048"/>
      <c r="E1047" s="1068"/>
      <c r="F1047" s="1044"/>
      <c r="G1047" s="1077">
        <f t="shared" si="16"/>
        <v>0</v>
      </c>
      <c r="H1047" s="1042" t="str">
        <f>IF(C1047="","",VLOOKUP(C1047,Compte!$A$3:$B$346,2,0))</f>
        <v/>
      </c>
      <c r="I1047" s="1043" t="str">
        <f>IF(D1047="","",VLOOKUP(D1047,Compte!$A$3:$B$346,2,0))</f>
        <v/>
      </c>
    </row>
    <row r="1048" spans="1:9">
      <c r="A1048" s="1206"/>
      <c r="B1048" s="606"/>
      <c r="C1048" s="1046"/>
      <c r="D1048" s="1048"/>
      <c r="E1048" s="1068"/>
      <c r="F1048" s="1044"/>
      <c r="G1048" s="1077">
        <f t="shared" si="16"/>
        <v>0</v>
      </c>
      <c r="H1048" s="1042" t="str">
        <f>IF(C1048="","",VLOOKUP(C1048,Compte!$A$3:$B$346,2,0))</f>
        <v/>
      </c>
      <c r="I1048" s="1043" t="str">
        <f>IF(D1048="","",VLOOKUP(D1048,Compte!$A$3:$B$346,2,0))</f>
        <v/>
      </c>
    </row>
    <row r="1049" spans="1:9">
      <c r="A1049" s="1206"/>
      <c r="B1049" s="606"/>
      <c r="C1049" s="1046"/>
      <c r="D1049" s="1048"/>
      <c r="E1049" s="1068"/>
      <c r="F1049" s="1044"/>
      <c r="G1049" s="1077">
        <f t="shared" si="16"/>
        <v>0</v>
      </c>
      <c r="H1049" s="1042" t="str">
        <f>IF(C1049="","",VLOOKUP(C1049,Compte!$A$3:$B$346,2,0))</f>
        <v/>
      </c>
      <c r="I1049" s="1043" t="str">
        <f>IF(D1049="","",VLOOKUP(D1049,Compte!$A$3:$B$346,2,0))</f>
        <v/>
      </c>
    </row>
    <row r="1050" spans="1:9">
      <c r="A1050" s="1206"/>
      <c r="B1050" s="606"/>
      <c r="C1050" s="1046"/>
      <c r="D1050" s="1048"/>
      <c r="E1050" s="1068"/>
      <c r="F1050" s="1044"/>
      <c r="G1050" s="1077">
        <f t="shared" si="16"/>
        <v>0</v>
      </c>
      <c r="H1050" s="1042" t="str">
        <f>IF(C1050="","",VLOOKUP(C1050,Compte!$A$3:$B$346,2,0))</f>
        <v/>
      </c>
      <c r="I1050" s="1043" t="str">
        <f>IF(D1050="","",VLOOKUP(D1050,Compte!$A$3:$B$346,2,0))</f>
        <v/>
      </c>
    </row>
    <row r="1051" spans="1:9">
      <c r="A1051" s="1206"/>
      <c r="B1051" s="606"/>
      <c r="C1051" s="1046"/>
      <c r="D1051" s="1048"/>
      <c r="E1051" s="1068"/>
      <c r="F1051" s="1044"/>
      <c r="G1051" s="1077">
        <f t="shared" si="16"/>
        <v>0</v>
      </c>
      <c r="H1051" s="1042" t="str">
        <f>IF(C1051="","",VLOOKUP(C1051,Compte!$A$3:$B$346,2,0))</f>
        <v/>
      </c>
      <c r="I1051" s="1043" t="str">
        <f>IF(D1051="","",VLOOKUP(D1051,Compte!$A$3:$B$346,2,0))</f>
        <v/>
      </c>
    </row>
    <row r="1052" spans="1:9">
      <c r="A1052" s="1206"/>
      <c r="B1052" s="606"/>
      <c r="C1052" s="1046"/>
      <c r="D1052" s="1048"/>
      <c r="E1052" s="1068"/>
      <c r="F1052" s="1044"/>
      <c r="G1052" s="1077">
        <f t="shared" si="16"/>
        <v>0</v>
      </c>
      <c r="H1052" s="1042" t="str">
        <f>IF(C1052="","",VLOOKUP(C1052,Compte!$A$3:$B$346,2,0))</f>
        <v/>
      </c>
      <c r="I1052" s="1043" t="str">
        <f>IF(D1052="","",VLOOKUP(D1052,Compte!$A$3:$B$346,2,0))</f>
        <v/>
      </c>
    </row>
    <row r="1053" spans="1:9">
      <c r="A1053" s="1206"/>
      <c r="B1053" s="606"/>
      <c r="C1053" s="1046"/>
      <c r="D1053" s="1048"/>
      <c r="E1053" s="1068"/>
      <c r="F1053" s="1044"/>
      <c r="G1053" s="1077">
        <f t="shared" si="16"/>
        <v>0</v>
      </c>
      <c r="H1053" s="1042" t="str">
        <f>IF(C1053="","",VLOOKUP(C1053,Compte!$A$3:$B$346,2,0))</f>
        <v/>
      </c>
      <c r="I1053" s="1043" t="str">
        <f>IF(D1053="","",VLOOKUP(D1053,Compte!$A$3:$B$346,2,0))</f>
        <v/>
      </c>
    </row>
    <row r="1054" spans="1:9">
      <c r="A1054" s="1206"/>
      <c r="B1054" s="606"/>
      <c r="C1054" s="1046"/>
      <c r="D1054" s="1048"/>
      <c r="E1054" s="1068"/>
      <c r="F1054" s="1044"/>
      <c r="G1054" s="1077">
        <f t="shared" si="16"/>
        <v>0</v>
      </c>
      <c r="H1054" s="1042" t="str">
        <f>IF(C1054="","",VLOOKUP(C1054,Compte!$A$3:$B$346,2,0))</f>
        <v/>
      </c>
      <c r="I1054" s="1043" t="str">
        <f>IF(D1054="","",VLOOKUP(D1054,Compte!$A$3:$B$346,2,0))</f>
        <v/>
      </c>
    </row>
    <row r="1055" spans="1:9">
      <c r="A1055" s="1206"/>
      <c r="B1055" s="606"/>
      <c r="C1055" s="1046"/>
      <c r="D1055" s="1048"/>
      <c r="E1055" s="1068"/>
      <c r="F1055" s="1044"/>
      <c r="G1055" s="1077">
        <f t="shared" si="16"/>
        <v>0</v>
      </c>
      <c r="H1055" s="1042" t="str">
        <f>IF(C1055="","",VLOOKUP(C1055,Compte!$A$3:$B$346,2,0))</f>
        <v/>
      </c>
      <c r="I1055" s="1043" t="str">
        <f>IF(D1055="","",VLOOKUP(D1055,Compte!$A$3:$B$346,2,0))</f>
        <v/>
      </c>
    </row>
    <row r="1056" spans="1:9">
      <c r="A1056" s="1206"/>
      <c r="B1056" s="606"/>
      <c r="C1056" s="1046"/>
      <c r="D1056" s="1048"/>
      <c r="E1056" s="1068"/>
      <c r="F1056" s="1044"/>
      <c r="G1056" s="1077">
        <f t="shared" si="16"/>
        <v>0</v>
      </c>
      <c r="H1056" s="1042" t="str">
        <f>IF(C1056="","",VLOOKUP(C1056,Compte!$A$3:$B$346,2,0))</f>
        <v/>
      </c>
      <c r="I1056" s="1043" t="str">
        <f>IF(D1056="","",VLOOKUP(D1056,Compte!$A$3:$B$346,2,0))</f>
        <v/>
      </c>
    </row>
    <row r="1057" spans="1:9">
      <c r="A1057" s="1206"/>
      <c r="B1057" s="606"/>
      <c r="C1057" s="1046"/>
      <c r="D1057" s="1048"/>
      <c r="E1057" s="1068"/>
      <c r="F1057" s="1044"/>
      <c r="G1057" s="1077">
        <f t="shared" si="16"/>
        <v>0</v>
      </c>
      <c r="H1057" s="1042" t="str">
        <f>IF(C1057="","",VLOOKUP(C1057,Compte!$A$3:$B$346,2,0))</f>
        <v/>
      </c>
      <c r="I1057" s="1043" t="str">
        <f>IF(D1057="","",VLOOKUP(D1057,Compte!$A$3:$B$346,2,0))</f>
        <v/>
      </c>
    </row>
    <row r="1058" spans="1:9">
      <c r="A1058" s="1206"/>
      <c r="B1058" s="606"/>
      <c r="C1058" s="1046"/>
      <c r="D1058" s="1048"/>
      <c r="E1058" s="1068"/>
      <c r="F1058" s="1044"/>
      <c r="G1058" s="1077">
        <f t="shared" si="16"/>
        <v>0</v>
      </c>
      <c r="H1058" s="1042" t="str">
        <f>IF(C1058="","",VLOOKUP(C1058,Compte!$A$3:$B$346,2,0))</f>
        <v/>
      </c>
      <c r="I1058" s="1043" t="str">
        <f>IF(D1058="","",VLOOKUP(D1058,Compte!$A$3:$B$346,2,0))</f>
        <v/>
      </c>
    </row>
    <row r="1059" spans="1:9">
      <c r="A1059" s="1206"/>
      <c r="B1059" s="606"/>
      <c r="C1059" s="1046"/>
      <c r="D1059" s="1048"/>
      <c r="E1059" s="1068"/>
      <c r="F1059" s="1044"/>
      <c r="G1059" s="1077">
        <f t="shared" si="16"/>
        <v>0</v>
      </c>
      <c r="H1059" s="1042" t="str">
        <f>IF(C1059="","",VLOOKUP(C1059,Compte!$A$3:$B$346,2,0))</f>
        <v/>
      </c>
      <c r="I1059" s="1043" t="str">
        <f>IF(D1059="","",VLOOKUP(D1059,Compte!$A$3:$B$346,2,0))</f>
        <v/>
      </c>
    </row>
    <row r="1060" spans="1:9">
      <c r="A1060" s="1206"/>
      <c r="B1060" s="606"/>
      <c r="C1060" s="1046"/>
      <c r="D1060" s="1048"/>
      <c r="E1060" s="1068"/>
      <c r="F1060" s="1044"/>
      <c r="G1060" s="1077">
        <f t="shared" si="16"/>
        <v>0</v>
      </c>
      <c r="H1060" s="1042" t="str">
        <f>IF(C1060="","",VLOOKUP(C1060,Compte!$A$3:$B$346,2,0))</f>
        <v/>
      </c>
      <c r="I1060" s="1043" t="str">
        <f>IF(D1060="","",VLOOKUP(D1060,Compte!$A$3:$B$346,2,0))</f>
        <v/>
      </c>
    </row>
    <row r="1061" spans="1:9">
      <c r="A1061" s="1206"/>
      <c r="B1061" s="606"/>
      <c r="C1061" s="1046"/>
      <c r="D1061" s="1048"/>
      <c r="E1061" s="1068"/>
      <c r="F1061" s="1044"/>
      <c r="G1061" s="1077">
        <f t="shared" si="16"/>
        <v>0</v>
      </c>
      <c r="H1061" s="1042" t="str">
        <f>IF(C1061="","",VLOOKUP(C1061,Compte!$A$3:$B$346,2,0))</f>
        <v/>
      </c>
      <c r="I1061" s="1043" t="str">
        <f>IF(D1061="","",VLOOKUP(D1061,Compte!$A$3:$B$346,2,0))</f>
        <v/>
      </c>
    </row>
    <row r="1062" spans="1:9">
      <c r="A1062" s="1206"/>
      <c r="B1062" s="606"/>
      <c r="C1062" s="1046"/>
      <c r="D1062" s="1048"/>
      <c r="E1062" s="1068"/>
      <c r="F1062" s="1044"/>
      <c r="G1062" s="1077">
        <f t="shared" si="16"/>
        <v>0</v>
      </c>
      <c r="H1062" s="1042" t="str">
        <f>IF(C1062="","",VLOOKUP(C1062,Compte!$A$3:$B$346,2,0))</f>
        <v/>
      </c>
      <c r="I1062" s="1043" t="str">
        <f>IF(D1062="","",VLOOKUP(D1062,Compte!$A$3:$B$346,2,0))</f>
        <v/>
      </c>
    </row>
    <row r="1063" spans="1:9">
      <c r="A1063" s="1206"/>
      <c r="B1063" s="606"/>
      <c r="C1063" s="1046"/>
      <c r="D1063" s="1048"/>
      <c r="E1063" s="1068"/>
      <c r="F1063" s="1044"/>
      <c r="G1063" s="1077">
        <f t="shared" si="16"/>
        <v>0</v>
      </c>
      <c r="H1063" s="1042" t="str">
        <f>IF(C1063="","",VLOOKUP(C1063,Compte!$A$3:$B$346,2,0))</f>
        <v/>
      </c>
      <c r="I1063" s="1043" t="str">
        <f>IF(D1063="","",VLOOKUP(D1063,Compte!$A$3:$B$346,2,0))</f>
        <v/>
      </c>
    </row>
    <row r="1064" spans="1:9">
      <c r="A1064" s="1206"/>
      <c r="B1064" s="606"/>
      <c r="C1064" s="1046"/>
      <c r="D1064" s="1048"/>
      <c r="E1064" s="1068"/>
      <c r="F1064" s="1044"/>
      <c r="G1064" s="1077">
        <f t="shared" si="16"/>
        <v>0</v>
      </c>
      <c r="H1064" s="1042" t="str">
        <f>IF(C1064="","",VLOOKUP(C1064,Compte!$A$3:$B$346,2,0))</f>
        <v/>
      </c>
      <c r="I1064" s="1043" t="str">
        <f>IF(D1064="","",VLOOKUP(D1064,Compte!$A$3:$B$346,2,0))</f>
        <v/>
      </c>
    </row>
    <row r="1065" spans="1:9">
      <c r="A1065" s="1206"/>
      <c r="B1065" s="606"/>
      <c r="C1065" s="1046"/>
      <c r="D1065" s="1048"/>
      <c r="E1065" s="1068"/>
      <c r="F1065" s="1044"/>
      <c r="G1065" s="1077">
        <f t="shared" si="16"/>
        <v>0</v>
      </c>
      <c r="H1065" s="1042" t="str">
        <f>IF(C1065="","",VLOOKUP(C1065,Compte!$A$3:$B$346,2,0))</f>
        <v/>
      </c>
      <c r="I1065" s="1043" t="str">
        <f>IF(D1065="","",VLOOKUP(D1065,Compte!$A$3:$B$346,2,0))</f>
        <v/>
      </c>
    </row>
    <row r="1066" spans="1:9">
      <c r="A1066" s="1206"/>
      <c r="B1066" s="606"/>
      <c r="C1066" s="1046"/>
      <c r="D1066" s="1048"/>
      <c r="E1066" s="1068"/>
      <c r="F1066" s="1044"/>
      <c r="G1066" s="1077">
        <f t="shared" si="16"/>
        <v>0</v>
      </c>
      <c r="H1066" s="1042" t="str">
        <f>IF(C1066="","",VLOOKUP(C1066,Compte!$A$3:$B$346,2,0))</f>
        <v/>
      </c>
      <c r="I1066" s="1043" t="str">
        <f>IF(D1066="","",VLOOKUP(D1066,Compte!$A$3:$B$346,2,0))</f>
        <v/>
      </c>
    </row>
    <row r="1067" spans="1:9">
      <c r="A1067" s="1206"/>
      <c r="B1067" s="606"/>
      <c r="C1067" s="1046"/>
      <c r="D1067" s="1048"/>
      <c r="E1067" s="1068"/>
      <c r="F1067" s="1044"/>
      <c r="G1067" s="1077">
        <f t="shared" si="16"/>
        <v>0</v>
      </c>
      <c r="H1067" s="1042" t="str">
        <f>IF(C1067="","",VLOOKUP(C1067,Compte!$A$3:$B$346,2,0))</f>
        <v/>
      </c>
      <c r="I1067" s="1043" t="str">
        <f>IF(D1067="","",VLOOKUP(D1067,Compte!$A$3:$B$346,2,0))</f>
        <v/>
      </c>
    </row>
    <row r="1068" spans="1:9">
      <c r="A1068" s="1206"/>
      <c r="B1068" s="606"/>
      <c r="C1068" s="1046"/>
      <c r="D1068" s="1048"/>
      <c r="E1068" s="1068"/>
      <c r="F1068" s="1044"/>
      <c r="G1068" s="1077">
        <f t="shared" si="16"/>
        <v>0</v>
      </c>
      <c r="H1068" s="1042" t="str">
        <f>IF(C1068="","",VLOOKUP(C1068,Compte!$A$3:$B$346,2,0))</f>
        <v/>
      </c>
      <c r="I1068" s="1043" t="str">
        <f>IF(D1068="","",VLOOKUP(D1068,Compte!$A$3:$B$346,2,0))</f>
        <v/>
      </c>
    </row>
    <row r="1069" spans="1:9">
      <c r="A1069" s="1206"/>
      <c r="B1069" s="606"/>
      <c r="C1069" s="1046"/>
      <c r="D1069" s="1048"/>
      <c r="E1069" s="1068"/>
      <c r="F1069" s="1044"/>
      <c r="G1069" s="1077">
        <f t="shared" si="16"/>
        <v>0</v>
      </c>
      <c r="H1069" s="1042" t="str">
        <f>IF(C1069="","",VLOOKUP(C1069,Compte!$A$3:$B$346,2,0))</f>
        <v/>
      </c>
      <c r="I1069" s="1043" t="str">
        <f>IF(D1069="","",VLOOKUP(D1069,Compte!$A$3:$B$346,2,0))</f>
        <v/>
      </c>
    </row>
    <row r="1070" spans="1:9">
      <c r="A1070" s="1206"/>
      <c r="B1070" s="606"/>
      <c r="C1070" s="1046"/>
      <c r="D1070" s="1048"/>
      <c r="E1070" s="1068"/>
      <c r="F1070" s="1044"/>
      <c r="G1070" s="1077">
        <f t="shared" si="16"/>
        <v>0</v>
      </c>
      <c r="H1070" s="1042" t="str">
        <f>IF(C1070="","",VLOOKUP(C1070,Compte!$A$3:$B$346,2,0))</f>
        <v/>
      </c>
      <c r="I1070" s="1043" t="str">
        <f>IF(D1070="","",VLOOKUP(D1070,Compte!$A$3:$B$346,2,0))</f>
        <v/>
      </c>
    </row>
    <row r="1071" spans="1:9">
      <c r="A1071" s="1206"/>
      <c r="B1071" s="606"/>
      <c r="C1071" s="1046"/>
      <c r="D1071" s="1048"/>
      <c r="E1071" s="1068"/>
      <c r="F1071" s="1044"/>
      <c r="G1071" s="1077">
        <f t="shared" si="16"/>
        <v>0</v>
      </c>
      <c r="H1071" s="1042" t="str">
        <f>IF(C1071="","",VLOOKUP(C1071,Compte!$A$3:$B$346,2,0))</f>
        <v/>
      </c>
      <c r="I1071" s="1043" t="str">
        <f>IF(D1071="","",VLOOKUP(D1071,Compte!$A$3:$B$346,2,0))</f>
        <v/>
      </c>
    </row>
    <row r="1072" spans="1:9">
      <c r="A1072" s="1206"/>
      <c r="B1072" s="606"/>
      <c r="C1072" s="1046"/>
      <c r="D1072" s="1048"/>
      <c r="E1072" s="1068"/>
      <c r="F1072" s="1044"/>
      <c r="G1072" s="1077">
        <f t="shared" si="16"/>
        <v>0</v>
      </c>
      <c r="H1072" s="1042" t="str">
        <f>IF(C1072="","",VLOOKUP(C1072,Compte!$A$3:$B$346,2,0))</f>
        <v/>
      </c>
      <c r="I1072" s="1043" t="str">
        <f>IF(D1072="","",VLOOKUP(D1072,Compte!$A$3:$B$346,2,0))</f>
        <v/>
      </c>
    </row>
    <row r="1073" spans="1:9">
      <c r="A1073" s="1206"/>
      <c r="B1073" s="606"/>
      <c r="C1073" s="1046"/>
      <c r="D1073" s="1048"/>
      <c r="E1073" s="1068"/>
      <c r="F1073" s="1044"/>
      <c r="G1073" s="1077">
        <f t="shared" si="16"/>
        <v>0</v>
      </c>
      <c r="H1073" s="1042" t="str">
        <f>IF(C1073="","",VLOOKUP(C1073,Compte!$A$3:$B$346,2,0))</f>
        <v/>
      </c>
      <c r="I1073" s="1043" t="str">
        <f>IF(D1073="","",VLOOKUP(D1073,Compte!$A$3:$B$346,2,0))</f>
        <v/>
      </c>
    </row>
    <row r="1074" spans="1:9">
      <c r="A1074" s="1206"/>
      <c r="B1074" s="606"/>
      <c r="C1074" s="1046"/>
      <c r="D1074" s="1048"/>
      <c r="E1074" s="1068"/>
      <c r="F1074" s="1044"/>
      <c r="G1074" s="1077">
        <f t="shared" si="16"/>
        <v>0</v>
      </c>
      <c r="H1074" s="1042" t="str">
        <f>IF(C1074="","",VLOOKUP(C1074,Compte!$A$3:$B$346,2,0))</f>
        <v/>
      </c>
      <c r="I1074" s="1043" t="str">
        <f>IF(D1074="","",VLOOKUP(D1074,Compte!$A$3:$B$346,2,0))</f>
        <v/>
      </c>
    </row>
    <row r="1075" spans="1:9">
      <c r="A1075" s="1206"/>
      <c r="B1075" s="606"/>
      <c r="C1075" s="1046"/>
      <c r="D1075" s="1048"/>
      <c r="E1075" s="1068"/>
      <c r="F1075" s="1044"/>
      <c r="G1075" s="1077">
        <f t="shared" si="16"/>
        <v>0</v>
      </c>
      <c r="H1075" s="1042" t="str">
        <f>IF(C1075="","",VLOOKUP(C1075,Compte!$A$3:$B$346,2,0))</f>
        <v/>
      </c>
      <c r="I1075" s="1043" t="str">
        <f>IF(D1075="","",VLOOKUP(D1075,Compte!$A$3:$B$346,2,0))</f>
        <v/>
      </c>
    </row>
    <row r="1076" spans="1:9">
      <c r="A1076" s="1206"/>
      <c r="B1076" s="606"/>
      <c r="C1076" s="1046"/>
      <c r="D1076" s="1048"/>
      <c r="E1076" s="1068"/>
      <c r="F1076" s="1044"/>
      <c r="G1076" s="1077">
        <f t="shared" si="16"/>
        <v>0</v>
      </c>
      <c r="H1076" s="1042" t="str">
        <f>IF(C1076="","",VLOOKUP(C1076,Compte!$A$3:$B$346,2,0))</f>
        <v/>
      </c>
      <c r="I1076" s="1043" t="str">
        <f>IF(D1076="","",VLOOKUP(D1076,Compte!$A$3:$B$346,2,0))</f>
        <v/>
      </c>
    </row>
    <row r="1077" spans="1:9">
      <c r="A1077" s="1206"/>
      <c r="B1077" s="606"/>
      <c r="C1077" s="1046"/>
      <c r="D1077" s="1048"/>
      <c r="E1077" s="1068"/>
      <c r="F1077" s="1044"/>
      <c r="G1077" s="1077">
        <f t="shared" si="16"/>
        <v>0</v>
      </c>
      <c r="H1077" s="1042" t="str">
        <f>IF(C1077="","",VLOOKUP(C1077,Compte!$A$3:$B$346,2,0))</f>
        <v/>
      </c>
      <c r="I1077" s="1043" t="str">
        <f>IF(D1077="","",VLOOKUP(D1077,Compte!$A$3:$B$346,2,0))</f>
        <v/>
      </c>
    </row>
    <row r="1078" spans="1:9">
      <c r="A1078" s="1206"/>
      <c r="B1078" s="606"/>
      <c r="C1078" s="1046"/>
      <c r="D1078" s="1048"/>
      <c r="E1078" s="1068"/>
      <c r="F1078" s="1044"/>
      <c r="G1078" s="1077">
        <f t="shared" si="16"/>
        <v>0</v>
      </c>
      <c r="H1078" s="1042" t="str">
        <f>IF(C1078="","",VLOOKUP(C1078,Compte!$A$3:$B$346,2,0))</f>
        <v/>
      </c>
      <c r="I1078" s="1043" t="str">
        <f>IF(D1078="","",VLOOKUP(D1078,Compte!$A$3:$B$346,2,0))</f>
        <v/>
      </c>
    </row>
    <row r="1079" spans="1:9">
      <c r="A1079" s="1206"/>
      <c r="B1079" s="606"/>
      <c r="C1079" s="1046"/>
      <c r="D1079" s="1048"/>
      <c r="E1079" s="1068"/>
      <c r="F1079" s="1044"/>
      <c r="G1079" s="1077">
        <f t="shared" si="16"/>
        <v>0</v>
      </c>
      <c r="H1079" s="1042" t="str">
        <f>IF(C1079="","",VLOOKUP(C1079,Compte!$A$3:$B$346,2,0))</f>
        <v/>
      </c>
      <c r="I1079" s="1043" t="str">
        <f>IF(D1079="","",VLOOKUP(D1079,Compte!$A$3:$B$346,2,0))</f>
        <v/>
      </c>
    </row>
    <row r="1080" spans="1:9">
      <c r="A1080" s="1206"/>
      <c r="B1080" s="606"/>
      <c r="C1080" s="1046"/>
      <c r="D1080" s="1048"/>
      <c r="E1080" s="1068"/>
      <c r="F1080" s="1044"/>
      <c r="G1080" s="1077">
        <f t="shared" si="16"/>
        <v>0</v>
      </c>
      <c r="H1080" s="1042" t="str">
        <f>IF(C1080="","",VLOOKUP(C1080,Compte!$A$3:$B$346,2,0))</f>
        <v/>
      </c>
      <c r="I1080" s="1043" t="str">
        <f>IF(D1080="","",VLOOKUP(D1080,Compte!$A$3:$B$346,2,0))</f>
        <v/>
      </c>
    </row>
    <row r="1081" spans="1:9">
      <c r="A1081" s="1206"/>
      <c r="B1081" s="606"/>
      <c r="C1081" s="1046"/>
      <c r="D1081" s="1048"/>
      <c r="E1081" s="1068"/>
      <c r="F1081" s="1044"/>
      <c r="G1081" s="1077">
        <f t="shared" si="16"/>
        <v>0</v>
      </c>
      <c r="H1081" s="1042" t="str">
        <f>IF(C1081="","",VLOOKUP(C1081,Compte!$A$3:$B$346,2,0))</f>
        <v/>
      </c>
      <c r="I1081" s="1043" t="str">
        <f>IF(D1081="","",VLOOKUP(D1081,Compte!$A$3:$B$346,2,0))</f>
        <v/>
      </c>
    </row>
    <row r="1082" spans="1:9">
      <c r="A1082" s="1206"/>
      <c r="B1082" s="606"/>
      <c r="C1082" s="1046"/>
      <c r="D1082" s="1048"/>
      <c r="E1082" s="1068"/>
      <c r="F1082" s="1044"/>
      <c r="G1082" s="1077">
        <f t="shared" si="16"/>
        <v>0</v>
      </c>
      <c r="H1082" s="1042" t="str">
        <f>IF(C1082="","",VLOOKUP(C1082,Compte!$A$3:$B$346,2,0))</f>
        <v/>
      </c>
      <c r="I1082" s="1043" t="str">
        <f>IF(D1082="","",VLOOKUP(D1082,Compte!$A$3:$B$346,2,0))</f>
        <v/>
      </c>
    </row>
    <row r="1083" spans="1:9">
      <c r="A1083" s="1206"/>
      <c r="B1083" s="606"/>
      <c r="C1083" s="1046"/>
      <c r="D1083" s="1048"/>
      <c r="E1083" s="1068"/>
      <c r="F1083" s="1044"/>
      <c r="G1083" s="1077">
        <f t="shared" si="16"/>
        <v>0</v>
      </c>
      <c r="H1083" s="1042" t="str">
        <f>IF(C1083="","",VLOOKUP(C1083,Compte!$A$3:$B$346,2,0))</f>
        <v/>
      </c>
      <c r="I1083" s="1043" t="str">
        <f>IF(D1083="","",VLOOKUP(D1083,Compte!$A$3:$B$346,2,0))</f>
        <v/>
      </c>
    </row>
    <row r="1084" spans="1:9">
      <c r="A1084" s="1206"/>
      <c r="B1084" s="606"/>
      <c r="C1084" s="1046"/>
      <c r="D1084" s="1048"/>
      <c r="E1084" s="1068"/>
      <c r="F1084" s="1044"/>
      <c r="G1084" s="1077">
        <f t="shared" si="16"/>
        <v>0</v>
      </c>
      <c r="H1084" s="1042" t="str">
        <f>IF(C1084="","",VLOOKUP(C1084,Compte!$A$3:$B$346,2,0))</f>
        <v/>
      </c>
      <c r="I1084" s="1043" t="str">
        <f>IF(D1084="","",VLOOKUP(D1084,Compte!$A$3:$B$346,2,0))</f>
        <v/>
      </c>
    </row>
    <row r="1085" spans="1:9">
      <c r="A1085" s="1206"/>
      <c r="B1085" s="606"/>
      <c r="C1085" s="1046"/>
      <c r="D1085" s="1048"/>
      <c r="E1085" s="1068"/>
      <c r="F1085" s="1044"/>
      <c r="G1085" s="1077">
        <f t="shared" si="16"/>
        <v>0</v>
      </c>
      <c r="H1085" s="1042" t="str">
        <f>IF(C1085="","",VLOOKUP(C1085,Compte!$A$3:$B$346,2,0))</f>
        <v/>
      </c>
      <c r="I1085" s="1043" t="str">
        <f>IF(D1085="","",VLOOKUP(D1085,Compte!$A$3:$B$346,2,0))</f>
        <v/>
      </c>
    </row>
    <row r="1086" spans="1:9">
      <c r="A1086" s="1206"/>
      <c r="B1086" s="606"/>
      <c r="C1086" s="1046"/>
      <c r="D1086" s="1048"/>
      <c r="E1086" s="1068"/>
      <c r="F1086" s="1044"/>
      <c r="G1086" s="1077">
        <f t="shared" si="16"/>
        <v>0</v>
      </c>
      <c r="H1086" s="1042" t="str">
        <f>IF(C1086="","",VLOOKUP(C1086,Compte!$A$3:$B$346,2,0))</f>
        <v/>
      </c>
      <c r="I1086" s="1043" t="str">
        <f>IF(D1086="","",VLOOKUP(D1086,Compte!$A$3:$B$346,2,0))</f>
        <v/>
      </c>
    </row>
    <row r="1087" spans="1:9">
      <c r="A1087" s="1206"/>
      <c r="B1087" s="606"/>
      <c r="C1087" s="1046"/>
      <c r="D1087" s="1048"/>
      <c r="E1087" s="1068"/>
      <c r="F1087" s="1044"/>
      <c r="G1087" s="1077">
        <f t="shared" si="16"/>
        <v>0</v>
      </c>
      <c r="H1087" s="1042" t="str">
        <f>IF(C1087="","",VLOOKUP(C1087,Compte!$A$3:$B$346,2,0))</f>
        <v/>
      </c>
      <c r="I1087" s="1043" t="str">
        <f>IF(D1087="","",VLOOKUP(D1087,Compte!$A$3:$B$346,2,0))</f>
        <v/>
      </c>
    </row>
    <row r="1088" spans="1:9">
      <c r="A1088" s="1206"/>
      <c r="B1088" s="606"/>
      <c r="C1088" s="1046"/>
      <c r="D1088" s="1048"/>
      <c r="E1088" s="1068"/>
      <c r="F1088" s="1044"/>
      <c r="G1088" s="1077">
        <f t="shared" si="16"/>
        <v>0</v>
      </c>
      <c r="H1088" s="1042" t="str">
        <f>IF(C1088="","",VLOOKUP(C1088,Compte!$A$3:$B$346,2,0))</f>
        <v/>
      </c>
      <c r="I1088" s="1043" t="str">
        <f>IF(D1088="","",VLOOKUP(D1088,Compte!$A$3:$B$346,2,0))</f>
        <v/>
      </c>
    </row>
    <row r="1089" spans="1:9">
      <c r="A1089" s="1206"/>
      <c r="B1089" s="606"/>
      <c r="C1089" s="1046"/>
      <c r="D1089" s="1048"/>
      <c r="E1089" s="1068"/>
      <c r="F1089" s="1044"/>
      <c r="G1089" s="1077">
        <f t="shared" si="16"/>
        <v>0</v>
      </c>
      <c r="H1089" s="1042" t="str">
        <f>IF(C1089="","",VLOOKUP(C1089,Compte!$A$3:$B$346,2,0))</f>
        <v/>
      </c>
      <c r="I1089" s="1043" t="str">
        <f>IF(D1089="","",VLOOKUP(D1089,Compte!$A$3:$B$346,2,0))</f>
        <v/>
      </c>
    </row>
    <row r="1090" spans="1:9">
      <c r="A1090" s="1206"/>
      <c r="B1090" s="606"/>
      <c r="C1090" s="1046"/>
      <c r="D1090" s="1048"/>
      <c r="E1090" s="1068"/>
      <c r="F1090" s="1044"/>
      <c r="G1090" s="1077">
        <f t="shared" si="16"/>
        <v>0</v>
      </c>
      <c r="H1090" s="1042" t="str">
        <f>IF(C1090="","",VLOOKUP(C1090,Compte!$A$3:$B$346,2,0))</f>
        <v/>
      </c>
      <c r="I1090" s="1043" t="str">
        <f>IF(D1090="","",VLOOKUP(D1090,Compte!$A$3:$B$346,2,0))</f>
        <v/>
      </c>
    </row>
    <row r="1091" spans="1:9">
      <c r="A1091" s="1206"/>
      <c r="B1091" s="606"/>
      <c r="C1091" s="1046"/>
      <c r="D1091" s="1048"/>
      <c r="E1091" s="1068"/>
      <c r="F1091" s="1044"/>
      <c r="G1091" s="1077">
        <f t="shared" si="16"/>
        <v>0</v>
      </c>
      <c r="H1091" s="1042" t="str">
        <f>IF(C1091="","",VLOOKUP(C1091,Compte!$A$3:$B$346,2,0))</f>
        <v/>
      </c>
      <c r="I1091" s="1043" t="str">
        <f>IF(D1091="","",VLOOKUP(D1091,Compte!$A$3:$B$346,2,0))</f>
        <v/>
      </c>
    </row>
    <row r="1092" spans="1:9">
      <c r="A1092" s="1206"/>
      <c r="B1092" s="606"/>
      <c r="C1092" s="1046"/>
      <c r="D1092" s="1048"/>
      <c r="E1092" s="1068"/>
      <c r="F1092" s="1044"/>
      <c r="G1092" s="1077">
        <f t="shared" si="16"/>
        <v>0</v>
      </c>
      <c r="H1092" s="1042" t="str">
        <f>IF(C1092="","",VLOOKUP(C1092,Compte!$A$3:$B$346,2,0))</f>
        <v/>
      </c>
      <c r="I1092" s="1043" t="str">
        <f>IF(D1092="","",VLOOKUP(D1092,Compte!$A$3:$B$346,2,0))</f>
        <v/>
      </c>
    </row>
    <row r="1093" spans="1:9">
      <c r="A1093" s="1206"/>
      <c r="B1093" s="606"/>
      <c r="C1093" s="1046"/>
      <c r="D1093" s="1048"/>
      <c r="E1093" s="1068"/>
      <c r="F1093" s="1044"/>
      <c r="G1093" s="1077">
        <f t="shared" si="16"/>
        <v>0</v>
      </c>
      <c r="H1093" s="1042" t="str">
        <f>IF(C1093="","",VLOOKUP(C1093,Compte!$A$3:$B$346,2,0))</f>
        <v/>
      </c>
      <c r="I1093" s="1043" t="str">
        <f>IF(D1093="","",VLOOKUP(D1093,Compte!$A$3:$B$346,2,0))</f>
        <v/>
      </c>
    </row>
    <row r="1094" spans="1:9">
      <c r="A1094" s="1206"/>
      <c r="B1094" s="606"/>
      <c r="C1094" s="1046"/>
      <c r="D1094" s="1048"/>
      <c r="E1094" s="1068"/>
      <c r="F1094" s="1044"/>
      <c r="G1094" s="1077">
        <f t="shared" si="16"/>
        <v>0</v>
      </c>
      <c r="H1094" s="1042" t="str">
        <f>IF(C1094="","",VLOOKUP(C1094,Compte!$A$3:$B$346,2,0))</f>
        <v/>
      </c>
      <c r="I1094" s="1043" t="str">
        <f>IF(D1094="","",VLOOKUP(D1094,Compte!$A$3:$B$346,2,0))</f>
        <v/>
      </c>
    </row>
    <row r="1095" spans="1:9">
      <c r="A1095" s="1206"/>
      <c r="B1095" s="606"/>
      <c r="C1095" s="1046"/>
      <c r="D1095" s="1048"/>
      <c r="E1095" s="1068"/>
      <c r="F1095" s="1044"/>
      <c r="G1095" s="1077">
        <f t="shared" si="16"/>
        <v>0</v>
      </c>
      <c r="H1095" s="1042" t="str">
        <f>IF(C1095="","",VLOOKUP(C1095,Compte!$A$3:$B$346,2,0))</f>
        <v/>
      </c>
      <c r="I1095" s="1043" t="str">
        <f>IF(D1095="","",VLOOKUP(D1095,Compte!$A$3:$B$346,2,0))</f>
        <v/>
      </c>
    </row>
    <row r="1096" spans="1:9">
      <c r="A1096" s="1206"/>
      <c r="B1096" s="606"/>
      <c r="C1096" s="1046"/>
      <c r="D1096" s="1048"/>
      <c r="E1096" s="1068"/>
      <c r="F1096" s="1044"/>
      <c r="G1096" s="1077">
        <f t="shared" ref="G1096:G1159" si="17">IF(C1096="",F1096,E1096)</f>
        <v>0</v>
      </c>
      <c r="H1096" s="1042" t="str">
        <f>IF(C1096="","",VLOOKUP(C1096,Compte!$A$3:$B$346,2,0))</f>
        <v/>
      </c>
      <c r="I1096" s="1043" t="str">
        <f>IF(D1096="","",VLOOKUP(D1096,Compte!$A$3:$B$346,2,0))</f>
        <v/>
      </c>
    </row>
    <row r="1097" spans="1:9">
      <c r="A1097" s="1206"/>
      <c r="B1097" s="606"/>
      <c r="C1097" s="1046"/>
      <c r="D1097" s="1048"/>
      <c r="E1097" s="1068"/>
      <c r="F1097" s="1044"/>
      <c r="G1097" s="1077">
        <f t="shared" si="17"/>
        <v>0</v>
      </c>
      <c r="H1097" s="1042" t="str">
        <f>IF(C1097="","",VLOOKUP(C1097,Compte!$A$3:$B$346,2,0))</f>
        <v/>
      </c>
      <c r="I1097" s="1043" t="str">
        <f>IF(D1097="","",VLOOKUP(D1097,Compte!$A$3:$B$346,2,0))</f>
        <v/>
      </c>
    </row>
    <row r="1098" spans="1:9">
      <c r="A1098" s="1206"/>
      <c r="B1098" s="606"/>
      <c r="C1098" s="1046"/>
      <c r="D1098" s="1048"/>
      <c r="E1098" s="1068"/>
      <c r="F1098" s="1044"/>
      <c r="G1098" s="1077">
        <f t="shared" si="17"/>
        <v>0</v>
      </c>
      <c r="H1098" s="1042" t="str">
        <f>IF(C1098="","",VLOOKUP(C1098,Compte!$A$3:$B$346,2,0))</f>
        <v/>
      </c>
      <c r="I1098" s="1043" t="str">
        <f>IF(D1098="","",VLOOKUP(D1098,Compte!$A$3:$B$346,2,0))</f>
        <v/>
      </c>
    </row>
    <row r="1099" spans="1:9">
      <c r="A1099" s="1206"/>
      <c r="B1099" s="606"/>
      <c r="C1099" s="1046"/>
      <c r="D1099" s="1048"/>
      <c r="E1099" s="1068"/>
      <c r="F1099" s="1044"/>
      <c r="G1099" s="1077">
        <f t="shared" si="17"/>
        <v>0</v>
      </c>
      <c r="H1099" s="1042" t="str">
        <f>IF(C1099="","",VLOOKUP(C1099,Compte!$A$3:$B$346,2,0))</f>
        <v/>
      </c>
      <c r="I1099" s="1043" t="str">
        <f>IF(D1099="","",VLOOKUP(D1099,Compte!$A$3:$B$346,2,0))</f>
        <v/>
      </c>
    </row>
    <row r="1100" spans="1:9">
      <c r="A1100" s="1206"/>
      <c r="B1100" s="606"/>
      <c r="C1100" s="1046"/>
      <c r="D1100" s="1048"/>
      <c r="E1100" s="1068"/>
      <c r="F1100" s="1044"/>
      <c r="G1100" s="1077">
        <f t="shared" si="17"/>
        <v>0</v>
      </c>
      <c r="H1100" s="1042" t="str">
        <f>IF(C1100="","",VLOOKUP(C1100,Compte!$A$3:$B$346,2,0))</f>
        <v/>
      </c>
      <c r="I1100" s="1043" t="str">
        <f>IF(D1100="","",VLOOKUP(D1100,Compte!$A$3:$B$346,2,0))</f>
        <v/>
      </c>
    </row>
    <row r="1101" spans="1:9">
      <c r="A1101" s="1206"/>
      <c r="B1101" s="606"/>
      <c r="C1101" s="1046"/>
      <c r="D1101" s="1048"/>
      <c r="E1101" s="1068"/>
      <c r="F1101" s="1044"/>
      <c r="G1101" s="1077">
        <f t="shared" si="17"/>
        <v>0</v>
      </c>
      <c r="H1101" s="1042" t="str">
        <f>IF(C1101="","",VLOOKUP(C1101,Compte!$A$3:$B$346,2,0))</f>
        <v/>
      </c>
      <c r="I1101" s="1043" t="str">
        <f>IF(D1101="","",VLOOKUP(D1101,Compte!$A$3:$B$346,2,0))</f>
        <v/>
      </c>
    </row>
    <row r="1102" spans="1:9">
      <c r="A1102" s="1206"/>
      <c r="B1102" s="606"/>
      <c r="C1102" s="1046"/>
      <c r="D1102" s="1048"/>
      <c r="E1102" s="1068"/>
      <c r="F1102" s="1044"/>
      <c r="G1102" s="1077">
        <f t="shared" si="17"/>
        <v>0</v>
      </c>
      <c r="H1102" s="1042" t="str">
        <f>IF(C1102="","",VLOOKUP(C1102,Compte!$A$3:$B$346,2,0))</f>
        <v/>
      </c>
      <c r="I1102" s="1043" t="str">
        <f>IF(D1102="","",VLOOKUP(D1102,Compte!$A$3:$B$346,2,0))</f>
        <v/>
      </c>
    </row>
    <row r="1103" spans="1:9">
      <c r="A1103" s="1206"/>
      <c r="B1103" s="606"/>
      <c r="C1103" s="1046"/>
      <c r="D1103" s="1048"/>
      <c r="E1103" s="1068"/>
      <c r="F1103" s="1044"/>
      <c r="G1103" s="1077">
        <f t="shared" si="17"/>
        <v>0</v>
      </c>
      <c r="H1103" s="1042" t="str">
        <f>IF(C1103="","",VLOOKUP(C1103,Compte!$A$3:$B$346,2,0))</f>
        <v/>
      </c>
      <c r="I1103" s="1043" t="str">
        <f>IF(D1103="","",VLOOKUP(D1103,Compte!$A$3:$B$346,2,0))</f>
        <v/>
      </c>
    </row>
    <row r="1104" spans="1:9">
      <c r="A1104" s="1206"/>
      <c r="B1104" s="606"/>
      <c r="C1104" s="1046"/>
      <c r="D1104" s="1048"/>
      <c r="E1104" s="1068"/>
      <c r="F1104" s="1044"/>
      <c r="G1104" s="1077">
        <f t="shared" si="17"/>
        <v>0</v>
      </c>
      <c r="H1104" s="1042" t="str">
        <f>IF(C1104="","",VLOOKUP(C1104,Compte!$A$3:$B$346,2,0))</f>
        <v/>
      </c>
      <c r="I1104" s="1043" t="str">
        <f>IF(D1104="","",VLOOKUP(D1104,Compte!$A$3:$B$346,2,0))</f>
        <v/>
      </c>
    </row>
    <row r="1105" spans="1:9">
      <c r="A1105" s="1206"/>
      <c r="B1105" s="606"/>
      <c r="C1105" s="1046"/>
      <c r="D1105" s="1048"/>
      <c r="E1105" s="1068"/>
      <c r="F1105" s="1044"/>
      <c r="G1105" s="1077">
        <f t="shared" si="17"/>
        <v>0</v>
      </c>
      <c r="H1105" s="1042" t="str">
        <f>IF(C1105="","",VLOOKUP(C1105,Compte!$A$3:$B$346,2,0))</f>
        <v/>
      </c>
      <c r="I1105" s="1043" t="str">
        <f>IF(D1105="","",VLOOKUP(D1105,Compte!$A$3:$B$346,2,0))</f>
        <v/>
      </c>
    </row>
    <row r="1106" spans="1:9">
      <c r="A1106" s="1206"/>
      <c r="B1106" s="606"/>
      <c r="C1106" s="1046"/>
      <c r="D1106" s="1048"/>
      <c r="E1106" s="1068"/>
      <c r="F1106" s="1044"/>
      <c r="G1106" s="1077">
        <f t="shared" si="17"/>
        <v>0</v>
      </c>
      <c r="H1106" s="1042" t="str">
        <f>IF(C1106="","",VLOOKUP(C1106,Compte!$A$3:$B$346,2,0))</f>
        <v/>
      </c>
      <c r="I1106" s="1043" t="str">
        <f>IF(D1106="","",VLOOKUP(D1106,Compte!$A$3:$B$346,2,0))</f>
        <v/>
      </c>
    </row>
    <row r="1107" spans="1:9">
      <c r="A1107" s="1206"/>
      <c r="B1107" s="606"/>
      <c r="C1107" s="1046"/>
      <c r="D1107" s="1048"/>
      <c r="E1107" s="1068"/>
      <c r="F1107" s="1044"/>
      <c r="G1107" s="1077">
        <f t="shared" si="17"/>
        <v>0</v>
      </c>
      <c r="H1107" s="1042" t="str">
        <f>IF(C1107="","",VLOOKUP(C1107,Compte!$A$3:$B$346,2,0))</f>
        <v/>
      </c>
      <c r="I1107" s="1043" t="str">
        <f>IF(D1107="","",VLOOKUP(D1107,Compte!$A$3:$B$346,2,0))</f>
        <v/>
      </c>
    </row>
    <row r="1108" spans="1:9">
      <c r="A1108" s="1206"/>
      <c r="B1108" s="606"/>
      <c r="C1108" s="1046"/>
      <c r="D1108" s="1048"/>
      <c r="E1108" s="1068"/>
      <c r="F1108" s="1044"/>
      <c r="G1108" s="1077">
        <f t="shared" si="17"/>
        <v>0</v>
      </c>
      <c r="H1108" s="1042" t="str">
        <f>IF(C1108="","",VLOOKUP(C1108,Compte!$A$3:$B$346,2,0))</f>
        <v/>
      </c>
      <c r="I1108" s="1043" t="str">
        <f>IF(D1108="","",VLOOKUP(D1108,Compte!$A$3:$B$346,2,0))</f>
        <v/>
      </c>
    </row>
    <row r="1109" spans="1:9">
      <c r="A1109" s="1206"/>
      <c r="B1109" s="606"/>
      <c r="C1109" s="1046"/>
      <c r="D1109" s="1048"/>
      <c r="E1109" s="1068"/>
      <c r="F1109" s="1044"/>
      <c r="G1109" s="1077">
        <f t="shared" si="17"/>
        <v>0</v>
      </c>
      <c r="H1109" s="1042" t="str">
        <f>IF(C1109="","",VLOOKUP(C1109,Compte!$A$3:$B$346,2,0))</f>
        <v/>
      </c>
      <c r="I1109" s="1043" t="str">
        <f>IF(D1109="","",VLOOKUP(D1109,Compte!$A$3:$B$346,2,0))</f>
        <v/>
      </c>
    </row>
    <row r="1110" spans="1:9">
      <c r="A1110" s="1206"/>
      <c r="B1110" s="606"/>
      <c r="C1110" s="1046"/>
      <c r="D1110" s="1048"/>
      <c r="E1110" s="1068"/>
      <c r="F1110" s="1044"/>
      <c r="G1110" s="1077">
        <f t="shared" si="17"/>
        <v>0</v>
      </c>
      <c r="H1110" s="1042" t="str">
        <f>IF(C1110="","",VLOOKUP(C1110,Compte!$A$3:$B$346,2,0))</f>
        <v/>
      </c>
      <c r="I1110" s="1043" t="str">
        <f>IF(D1110="","",VLOOKUP(D1110,Compte!$A$3:$B$346,2,0))</f>
        <v/>
      </c>
    </row>
    <row r="1111" spans="1:9">
      <c r="A1111" s="1206"/>
      <c r="B1111" s="606"/>
      <c r="C1111" s="1046"/>
      <c r="D1111" s="1048"/>
      <c r="E1111" s="1068"/>
      <c r="F1111" s="1044"/>
      <c r="G1111" s="1077">
        <f t="shared" si="17"/>
        <v>0</v>
      </c>
      <c r="H1111" s="1042" t="str">
        <f>IF(C1111="","",VLOOKUP(C1111,Compte!$A$3:$B$346,2,0))</f>
        <v/>
      </c>
      <c r="I1111" s="1043" t="str">
        <f>IF(D1111="","",VLOOKUP(D1111,Compte!$A$3:$B$346,2,0))</f>
        <v/>
      </c>
    </row>
    <row r="1112" spans="1:9">
      <c r="A1112" s="1206"/>
      <c r="B1112" s="606"/>
      <c r="C1112" s="1046"/>
      <c r="D1112" s="1048"/>
      <c r="E1112" s="1068"/>
      <c r="F1112" s="1044"/>
      <c r="G1112" s="1077">
        <f t="shared" si="17"/>
        <v>0</v>
      </c>
      <c r="H1112" s="1042" t="str">
        <f>IF(C1112="","",VLOOKUP(C1112,Compte!$A$3:$B$346,2,0))</f>
        <v/>
      </c>
      <c r="I1112" s="1043" t="str">
        <f>IF(D1112="","",VLOOKUP(D1112,Compte!$A$3:$B$346,2,0))</f>
        <v/>
      </c>
    </row>
    <row r="1113" spans="1:9">
      <c r="A1113" s="1206"/>
      <c r="B1113" s="606"/>
      <c r="C1113" s="1046"/>
      <c r="D1113" s="1048"/>
      <c r="E1113" s="1068"/>
      <c r="F1113" s="1044"/>
      <c r="G1113" s="1077">
        <f t="shared" si="17"/>
        <v>0</v>
      </c>
      <c r="H1113" s="1042" t="str">
        <f>IF(C1113="","",VLOOKUP(C1113,Compte!$A$3:$B$346,2,0))</f>
        <v/>
      </c>
      <c r="I1113" s="1043" t="str">
        <f>IF(D1113="","",VLOOKUP(D1113,Compte!$A$3:$B$346,2,0))</f>
        <v/>
      </c>
    </row>
    <row r="1114" spans="1:9">
      <c r="A1114" s="1206"/>
      <c r="B1114" s="606"/>
      <c r="C1114" s="1046"/>
      <c r="D1114" s="1048"/>
      <c r="E1114" s="1068"/>
      <c r="F1114" s="1044"/>
      <c r="G1114" s="1077">
        <f t="shared" si="17"/>
        <v>0</v>
      </c>
      <c r="H1114" s="1042" t="str">
        <f>IF(C1114="","",VLOOKUP(C1114,Compte!$A$3:$B$346,2,0))</f>
        <v/>
      </c>
      <c r="I1114" s="1043" t="str">
        <f>IF(D1114="","",VLOOKUP(D1114,Compte!$A$3:$B$346,2,0))</f>
        <v/>
      </c>
    </row>
    <row r="1115" spans="1:9">
      <c r="A1115" s="1206"/>
      <c r="B1115" s="606"/>
      <c r="C1115" s="1046"/>
      <c r="D1115" s="1048"/>
      <c r="E1115" s="1068"/>
      <c r="F1115" s="1044"/>
      <c r="G1115" s="1077">
        <f t="shared" si="17"/>
        <v>0</v>
      </c>
      <c r="H1115" s="1042" t="str">
        <f>IF(C1115="","",VLOOKUP(C1115,Compte!$A$3:$B$346,2,0))</f>
        <v/>
      </c>
      <c r="I1115" s="1043" t="str">
        <f>IF(D1115="","",VLOOKUP(D1115,Compte!$A$3:$B$346,2,0))</f>
        <v/>
      </c>
    </row>
    <row r="1116" spans="1:9">
      <c r="A1116" s="1206"/>
      <c r="B1116" s="606"/>
      <c r="C1116" s="1046"/>
      <c r="D1116" s="1048"/>
      <c r="E1116" s="1068"/>
      <c r="F1116" s="1044"/>
      <c r="G1116" s="1077">
        <f t="shared" si="17"/>
        <v>0</v>
      </c>
      <c r="H1116" s="1042" t="str">
        <f>IF(C1116="","",VLOOKUP(C1116,Compte!$A$3:$B$346,2,0))</f>
        <v/>
      </c>
      <c r="I1116" s="1043" t="str">
        <f>IF(D1116="","",VLOOKUP(D1116,Compte!$A$3:$B$346,2,0))</f>
        <v/>
      </c>
    </row>
    <row r="1117" spans="1:9">
      <c r="A1117" s="1206"/>
      <c r="B1117" s="606"/>
      <c r="C1117" s="1046"/>
      <c r="D1117" s="1048"/>
      <c r="E1117" s="1068"/>
      <c r="F1117" s="1044"/>
      <c r="G1117" s="1077">
        <f t="shared" si="17"/>
        <v>0</v>
      </c>
      <c r="H1117" s="1042" t="str">
        <f>IF(C1117="","",VLOOKUP(C1117,Compte!$A$3:$B$346,2,0))</f>
        <v/>
      </c>
      <c r="I1117" s="1043" t="str">
        <f>IF(D1117="","",VLOOKUP(D1117,Compte!$A$3:$B$346,2,0))</f>
        <v/>
      </c>
    </row>
    <row r="1118" spans="1:9">
      <c r="A1118" s="1206"/>
      <c r="B1118" s="606"/>
      <c r="C1118" s="1046"/>
      <c r="D1118" s="1048"/>
      <c r="E1118" s="1068"/>
      <c r="F1118" s="1044"/>
      <c r="G1118" s="1077">
        <f t="shared" si="17"/>
        <v>0</v>
      </c>
      <c r="H1118" s="1042" t="str">
        <f>IF(C1118="","",VLOOKUP(C1118,Compte!$A$3:$B$346,2,0))</f>
        <v/>
      </c>
      <c r="I1118" s="1043" t="str">
        <f>IF(D1118="","",VLOOKUP(D1118,Compte!$A$3:$B$346,2,0))</f>
        <v/>
      </c>
    </row>
    <row r="1119" spans="1:9">
      <c r="A1119" s="1206"/>
      <c r="B1119" s="606"/>
      <c r="C1119" s="1046"/>
      <c r="D1119" s="1048"/>
      <c r="E1119" s="1068"/>
      <c r="F1119" s="1044"/>
      <c r="G1119" s="1077">
        <f t="shared" si="17"/>
        <v>0</v>
      </c>
      <c r="H1119" s="1042" t="str">
        <f>IF(C1119="","",VLOOKUP(C1119,Compte!$A$3:$B$346,2,0))</f>
        <v/>
      </c>
      <c r="I1119" s="1043" t="str">
        <f>IF(D1119="","",VLOOKUP(D1119,Compte!$A$3:$B$346,2,0))</f>
        <v/>
      </c>
    </row>
    <row r="1120" spans="1:9">
      <c r="A1120" s="1206"/>
      <c r="B1120" s="606"/>
      <c r="C1120" s="1046"/>
      <c r="D1120" s="1048"/>
      <c r="E1120" s="1068"/>
      <c r="F1120" s="1044"/>
      <c r="G1120" s="1077">
        <f t="shared" si="17"/>
        <v>0</v>
      </c>
      <c r="H1120" s="1042" t="str">
        <f>IF(C1120="","",VLOOKUP(C1120,Compte!$A$3:$B$346,2,0))</f>
        <v/>
      </c>
      <c r="I1120" s="1043" t="str">
        <f>IF(D1120="","",VLOOKUP(D1120,Compte!$A$3:$B$346,2,0))</f>
        <v/>
      </c>
    </row>
    <row r="1121" spans="1:9">
      <c r="A1121" s="1206"/>
      <c r="B1121" s="606"/>
      <c r="C1121" s="1046"/>
      <c r="D1121" s="1048"/>
      <c r="E1121" s="1068"/>
      <c r="F1121" s="1044"/>
      <c r="G1121" s="1077">
        <f t="shared" si="17"/>
        <v>0</v>
      </c>
      <c r="H1121" s="1042" t="str">
        <f>IF(C1121="","",VLOOKUP(C1121,Compte!$A$3:$B$346,2,0))</f>
        <v/>
      </c>
      <c r="I1121" s="1043" t="str">
        <f>IF(D1121="","",VLOOKUP(D1121,Compte!$A$3:$B$346,2,0))</f>
        <v/>
      </c>
    </row>
    <row r="1122" spans="1:9">
      <c r="A1122" s="1206"/>
      <c r="B1122" s="606"/>
      <c r="C1122" s="1046"/>
      <c r="D1122" s="1048"/>
      <c r="E1122" s="1068"/>
      <c r="F1122" s="1044"/>
      <c r="G1122" s="1077">
        <f t="shared" si="17"/>
        <v>0</v>
      </c>
      <c r="H1122" s="1042" t="str">
        <f>IF(C1122="","",VLOOKUP(C1122,Compte!$A$3:$B$346,2,0))</f>
        <v/>
      </c>
      <c r="I1122" s="1043" t="str">
        <f>IF(D1122="","",VLOOKUP(D1122,Compte!$A$3:$B$346,2,0))</f>
        <v/>
      </c>
    </row>
    <row r="1123" spans="1:9">
      <c r="A1123" s="1206"/>
      <c r="B1123" s="606"/>
      <c r="C1123" s="1046"/>
      <c r="D1123" s="1048"/>
      <c r="E1123" s="1068"/>
      <c r="F1123" s="1044"/>
      <c r="G1123" s="1077">
        <f t="shared" si="17"/>
        <v>0</v>
      </c>
      <c r="H1123" s="1042" t="str">
        <f>IF(C1123="","",VLOOKUP(C1123,Compte!$A$3:$B$346,2,0))</f>
        <v/>
      </c>
      <c r="I1123" s="1043" t="str">
        <f>IF(D1123="","",VLOOKUP(D1123,Compte!$A$3:$B$346,2,0))</f>
        <v/>
      </c>
    </row>
    <row r="1124" spans="1:9">
      <c r="A1124" s="1206"/>
      <c r="B1124" s="606"/>
      <c r="C1124" s="1046"/>
      <c r="D1124" s="1048"/>
      <c r="E1124" s="1068"/>
      <c r="F1124" s="1044"/>
      <c r="G1124" s="1077">
        <f t="shared" si="17"/>
        <v>0</v>
      </c>
      <c r="H1124" s="1042" t="str">
        <f>IF(C1124="","",VLOOKUP(C1124,Compte!$A$3:$B$346,2,0))</f>
        <v/>
      </c>
      <c r="I1124" s="1043" t="str">
        <f>IF(D1124="","",VLOOKUP(D1124,Compte!$A$3:$B$346,2,0))</f>
        <v/>
      </c>
    </row>
    <row r="1125" spans="1:9">
      <c r="A1125" s="1206"/>
      <c r="B1125" s="606"/>
      <c r="C1125" s="1046"/>
      <c r="D1125" s="1048"/>
      <c r="E1125" s="1068"/>
      <c r="F1125" s="1044"/>
      <c r="G1125" s="1077">
        <f t="shared" si="17"/>
        <v>0</v>
      </c>
      <c r="H1125" s="1042" t="str">
        <f>IF(C1125="","",VLOOKUP(C1125,Compte!$A$3:$B$346,2,0))</f>
        <v/>
      </c>
      <c r="I1125" s="1043" t="str">
        <f>IF(D1125="","",VLOOKUP(D1125,Compte!$A$3:$B$346,2,0))</f>
        <v/>
      </c>
    </row>
    <row r="1126" spans="1:9">
      <c r="A1126" s="1206"/>
      <c r="B1126" s="606"/>
      <c r="C1126" s="1046"/>
      <c r="D1126" s="1048"/>
      <c r="E1126" s="1068"/>
      <c r="F1126" s="1044"/>
      <c r="G1126" s="1077">
        <f t="shared" si="17"/>
        <v>0</v>
      </c>
      <c r="H1126" s="1042" t="str">
        <f>IF(C1126="","",VLOOKUP(C1126,Compte!$A$3:$B$346,2,0))</f>
        <v/>
      </c>
      <c r="I1126" s="1043" t="str">
        <f>IF(D1126="","",VLOOKUP(D1126,Compte!$A$3:$B$346,2,0))</f>
        <v/>
      </c>
    </row>
    <row r="1127" spans="1:9">
      <c r="A1127" s="1206"/>
      <c r="B1127" s="606"/>
      <c r="C1127" s="1046"/>
      <c r="D1127" s="1048"/>
      <c r="E1127" s="1068"/>
      <c r="F1127" s="1044"/>
      <c r="G1127" s="1077">
        <f t="shared" si="17"/>
        <v>0</v>
      </c>
      <c r="H1127" s="1042" t="str">
        <f>IF(C1127="","",VLOOKUP(C1127,Compte!$A$3:$B$346,2,0))</f>
        <v/>
      </c>
      <c r="I1127" s="1043" t="str">
        <f>IF(D1127="","",VLOOKUP(D1127,Compte!$A$3:$B$346,2,0))</f>
        <v/>
      </c>
    </row>
    <row r="1128" spans="1:9">
      <c r="A1128" s="1206"/>
      <c r="B1128" s="606"/>
      <c r="C1128" s="1046"/>
      <c r="D1128" s="1048"/>
      <c r="E1128" s="1068"/>
      <c r="F1128" s="1044"/>
      <c r="G1128" s="1077">
        <f t="shared" si="17"/>
        <v>0</v>
      </c>
      <c r="H1128" s="1042" t="str">
        <f>IF(C1128="","",VLOOKUP(C1128,Compte!$A$3:$B$346,2,0))</f>
        <v/>
      </c>
      <c r="I1128" s="1043" t="str">
        <f>IF(D1128="","",VLOOKUP(D1128,Compte!$A$3:$B$346,2,0))</f>
        <v/>
      </c>
    </row>
    <row r="1129" spans="1:9">
      <c r="A1129" s="1206"/>
      <c r="B1129" s="606"/>
      <c r="C1129" s="1046"/>
      <c r="D1129" s="1048"/>
      <c r="E1129" s="1068"/>
      <c r="F1129" s="1044"/>
      <c r="G1129" s="1077">
        <f t="shared" si="17"/>
        <v>0</v>
      </c>
      <c r="H1129" s="1042" t="str">
        <f>IF(C1129="","",VLOOKUP(C1129,Compte!$A$3:$B$346,2,0))</f>
        <v/>
      </c>
      <c r="I1129" s="1043" t="str">
        <f>IF(D1129="","",VLOOKUP(D1129,Compte!$A$3:$B$346,2,0))</f>
        <v/>
      </c>
    </row>
    <row r="1130" spans="1:9">
      <c r="A1130" s="1206"/>
      <c r="B1130" s="606"/>
      <c r="C1130" s="1046"/>
      <c r="D1130" s="1048"/>
      <c r="E1130" s="1068"/>
      <c r="F1130" s="1044"/>
      <c r="G1130" s="1077">
        <f t="shared" si="17"/>
        <v>0</v>
      </c>
      <c r="H1130" s="1042" t="str">
        <f>IF(C1130="","",VLOOKUP(C1130,Compte!$A$3:$B$346,2,0))</f>
        <v/>
      </c>
      <c r="I1130" s="1043" t="str">
        <f>IF(D1130="","",VLOOKUP(D1130,Compte!$A$3:$B$346,2,0))</f>
        <v/>
      </c>
    </row>
    <row r="1131" spans="1:9">
      <c r="A1131" s="1206"/>
      <c r="B1131" s="606"/>
      <c r="C1131" s="1046"/>
      <c r="D1131" s="1048"/>
      <c r="E1131" s="1068"/>
      <c r="F1131" s="1044"/>
      <c r="G1131" s="1077">
        <f t="shared" si="17"/>
        <v>0</v>
      </c>
      <c r="H1131" s="1042" t="str">
        <f>IF(C1131="","",VLOOKUP(C1131,Compte!$A$3:$B$346,2,0))</f>
        <v/>
      </c>
      <c r="I1131" s="1043" t="str">
        <f>IF(D1131="","",VLOOKUP(D1131,Compte!$A$3:$B$346,2,0))</f>
        <v/>
      </c>
    </row>
    <row r="1132" spans="1:9">
      <c r="A1132" s="1206"/>
      <c r="B1132" s="606"/>
      <c r="C1132" s="1046"/>
      <c r="D1132" s="1048"/>
      <c r="E1132" s="1068"/>
      <c r="F1132" s="1044"/>
      <c r="G1132" s="1077">
        <f t="shared" si="17"/>
        <v>0</v>
      </c>
      <c r="H1132" s="1042" t="str">
        <f>IF(C1132="","",VLOOKUP(C1132,Compte!$A$3:$B$346,2,0))</f>
        <v/>
      </c>
      <c r="I1132" s="1043" t="str">
        <f>IF(D1132="","",VLOOKUP(D1132,Compte!$A$3:$B$346,2,0))</f>
        <v/>
      </c>
    </row>
    <row r="1133" spans="1:9">
      <c r="A1133" s="1206"/>
      <c r="B1133" s="606"/>
      <c r="C1133" s="1046"/>
      <c r="D1133" s="1048"/>
      <c r="E1133" s="1068"/>
      <c r="F1133" s="1044"/>
      <c r="G1133" s="1077">
        <f t="shared" si="17"/>
        <v>0</v>
      </c>
      <c r="H1133" s="1042" t="str">
        <f>IF(C1133="","",VLOOKUP(C1133,Compte!$A$3:$B$346,2,0))</f>
        <v/>
      </c>
      <c r="I1133" s="1043" t="str">
        <f>IF(D1133="","",VLOOKUP(D1133,Compte!$A$3:$B$346,2,0))</f>
        <v/>
      </c>
    </row>
    <row r="1134" spans="1:9">
      <c r="A1134" s="1206"/>
      <c r="B1134" s="606"/>
      <c r="C1134" s="1046"/>
      <c r="D1134" s="1048"/>
      <c r="E1134" s="1068"/>
      <c r="F1134" s="1044"/>
      <c r="G1134" s="1077">
        <f t="shared" si="17"/>
        <v>0</v>
      </c>
      <c r="H1134" s="1042" t="str">
        <f>IF(C1134="","",VLOOKUP(C1134,Compte!$A$3:$B$346,2,0))</f>
        <v/>
      </c>
      <c r="I1134" s="1043" t="str">
        <f>IF(D1134="","",VLOOKUP(D1134,Compte!$A$3:$B$346,2,0))</f>
        <v/>
      </c>
    </row>
    <row r="1135" spans="1:9">
      <c r="A1135" s="1206"/>
      <c r="B1135" s="606"/>
      <c r="C1135" s="1046"/>
      <c r="D1135" s="1048"/>
      <c r="E1135" s="1068"/>
      <c r="F1135" s="1044"/>
      <c r="G1135" s="1077">
        <f t="shared" si="17"/>
        <v>0</v>
      </c>
      <c r="H1135" s="1042" t="str">
        <f>IF(C1135="","",VLOOKUP(C1135,Compte!$A$3:$B$346,2,0))</f>
        <v/>
      </c>
      <c r="I1135" s="1043" t="str">
        <f>IF(D1135="","",VLOOKUP(D1135,Compte!$A$3:$B$346,2,0))</f>
        <v/>
      </c>
    </row>
    <row r="1136" spans="1:9">
      <c r="A1136" s="1206"/>
      <c r="B1136" s="606"/>
      <c r="C1136" s="1046"/>
      <c r="D1136" s="1048"/>
      <c r="E1136" s="1068"/>
      <c r="F1136" s="1044"/>
      <c r="G1136" s="1077">
        <f t="shared" si="17"/>
        <v>0</v>
      </c>
      <c r="H1136" s="1042" t="str">
        <f>IF(C1136="","",VLOOKUP(C1136,Compte!$A$3:$B$346,2,0))</f>
        <v/>
      </c>
      <c r="I1136" s="1043" t="str">
        <f>IF(D1136="","",VLOOKUP(D1136,Compte!$A$3:$B$346,2,0))</f>
        <v/>
      </c>
    </row>
    <row r="1137" spans="1:9">
      <c r="A1137" s="1206"/>
      <c r="B1137" s="606"/>
      <c r="C1137" s="1046"/>
      <c r="D1137" s="1048"/>
      <c r="E1137" s="1068"/>
      <c r="F1137" s="1044"/>
      <c r="G1137" s="1077">
        <f t="shared" si="17"/>
        <v>0</v>
      </c>
      <c r="H1137" s="1042" t="str">
        <f>IF(C1137="","",VLOOKUP(C1137,Compte!$A$3:$B$346,2,0))</f>
        <v/>
      </c>
      <c r="I1137" s="1043" t="str">
        <f>IF(D1137="","",VLOOKUP(D1137,Compte!$A$3:$B$346,2,0))</f>
        <v/>
      </c>
    </row>
    <row r="1138" spans="1:9">
      <c r="A1138" s="1206"/>
      <c r="B1138" s="606"/>
      <c r="C1138" s="1046"/>
      <c r="D1138" s="1048"/>
      <c r="E1138" s="1068"/>
      <c r="F1138" s="1044"/>
      <c r="G1138" s="1077">
        <f t="shared" si="17"/>
        <v>0</v>
      </c>
      <c r="H1138" s="1042" t="str">
        <f>IF(C1138="","",VLOOKUP(C1138,Compte!$A$3:$B$346,2,0))</f>
        <v/>
      </c>
      <c r="I1138" s="1043" t="str">
        <f>IF(D1138="","",VLOOKUP(D1138,Compte!$A$3:$B$346,2,0))</f>
        <v/>
      </c>
    </row>
    <row r="1139" spans="1:9">
      <c r="A1139" s="1206"/>
      <c r="B1139" s="606"/>
      <c r="C1139" s="1046"/>
      <c r="D1139" s="1048"/>
      <c r="E1139" s="1068"/>
      <c r="F1139" s="1044"/>
      <c r="G1139" s="1077">
        <f t="shared" si="17"/>
        <v>0</v>
      </c>
      <c r="H1139" s="1042" t="str">
        <f>IF(C1139="","",VLOOKUP(C1139,Compte!$A$3:$B$346,2,0))</f>
        <v/>
      </c>
      <c r="I1139" s="1043" t="str">
        <f>IF(D1139="","",VLOOKUP(D1139,Compte!$A$3:$B$346,2,0))</f>
        <v/>
      </c>
    </row>
    <row r="1140" spans="1:9">
      <c r="A1140" s="1206"/>
      <c r="B1140" s="606"/>
      <c r="C1140" s="1046"/>
      <c r="D1140" s="1048"/>
      <c r="E1140" s="1068"/>
      <c r="F1140" s="1044"/>
      <c r="G1140" s="1077">
        <f t="shared" si="17"/>
        <v>0</v>
      </c>
      <c r="H1140" s="1042" t="str">
        <f>IF(C1140="","",VLOOKUP(C1140,Compte!$A$3:$B$346,2,0))</f>
        <v/>
      </c>
      <c r="I1140" s="1043" t="str">
        <f>IF(D1140="","",VLOOKUP(D1140,Compte!$A$3:$B$346,2,0))</f>
        <v/>
      </c>
    </row>
    <row r="1141" spans="1:9">
      <c r="A1141" s="1206"/>
      <c r="B1141" s="606"/>
      <c r="C1141" s="1046"/>
      <c r="D1141" s="1048"/>
      <c r="E1141" s="1068"/>
      <c r="F1141" s="1044"/>
      <c r="G1141" s="1077">
        <f t="shared" si="17"/>
        <v>0</v>
      </c>
      <c r="H1141" s="1042" t="str">
        <f>IF(C1141="","",VLOOKUP(C1141,Compte!$A$3:$B$346,2,0))</f>
        <v/>
      </c>
      <c r="I1141" s="1043" t="str">
        <f>IF(D1141="","",VLOOKUP(D1141,Compte!$A$3:$B$346,2,0))</f>
        <v/>
      </c>
    </row>
    <row r="1142" spans="1:9">
      <c r="A1142" s="1206"/>
      <c r="B1142" s="606"/>
      <c r="C1142" s="1046"/>
      <c r="D1142" s="1048"/>
      <c r="E1142" s="1068"/>
      <c r="F1142" s="1044"/>
      <c r="G1142" s="1077">
        <f t="shared" si="17"/>
        <v>0</v>
      </c>
      <c r="H1142" s="1042" t="str">
        <f>IF(C1142="","",VLOOKUP(C1142,Compte!$A$3:$B$346,2,0))</f>
        <v/>
      </c>
      <c r="I1142" s="1043" t="str">
        <f>IF(D1142="","",VLOOKUP(D1142,Compte!$A$3:$B$346,2,0))</f>
        <v/>
      </c>
    </row>
    <row r="1143" spans="1:9">
      <c r="A1143" s="1206"/>
      <c r="B1143" s="606"/>
      <c r="C1143" s="1046"/>
      <c r="D1143" s="1048"/>
      <c r="E1143" s="1068"/>
      <c r="F1143" s="1044"/>
      <c r="G1143" s="1077">
        <f t="shared" si="17"/>
        <v>0</v>
      </c>
      <c r="H1143" s="1042" t="str">
        <f>IF(C1143="","",VLOOKUP(C1143,Compte!$A$3:$B$346,2,0))</f>
        <v/>
      </c>
      <c r="I1143" s="1043" t="str">
        <f>IF(D1143="","",VLOOKUP(D1143,Compte!$A$3:$B$346,2,0))</f>
        <v/>
      </c>
    </row>
    <row r="1144" spans="1:9">
      <c r="A1144" s="1206"/>
      <c r="B1144" s="606"/>
      <c r="C1144" s="1046"/>
      <c r="D1144" s="1048"/>
      <c r="E1144" s="1068"/>
      <c r="F1144" s="1044"/>
      <c r="G1144" s="1077">
        <f t="shared" si="17"/>
        <v>0</v>
      </c>
      <c r="H1144" s="1042" t="str">
        <f>IF(C1144="","",VLOOKUP(C1144,Compte!$A$3:$B$346,2,0))</f>
        <v/>
      </c>
      <c r="I1144" s="1043" t="str">
        <f>IF(D1144="","",VLOOKUP(D1144,Compte!$A$3:$B$346,2,0))</f>
        <v/>
      </c>
    </row>
    <row r="1145" spans="1:9">
      <c r="A1145" s="1206"/>
      <c r="B1145" s="606"/>
      <c r="C1145" s="1046"/>
      <c r="D1145" s="1048"/>
      <c r="E1145" s="1068"/>
      <c r="F1145" s="1044"/>
      <c r="G1145" s="1077">
        <f t="shared" si="17"/>
        <v>0</v>
      </c>
      <c r="H1145" s="1042" t="str">
        <f>IF(C1145="","",VLOOKUP(C1145,Compte!$A$3:$B$346,2,0))</f>
        <v/>
      </c>
      <c r="I1145" s="1043" t="str">
        <f>IF(D1145="","",VLOOKUP(D1145,Compte!$A$3:$B$346,2,0))</f>
        <v/>
      </c>
    </row>
    <row r="1146" spans="1:9">
      <c r="A1146" s="1206"/>
      <c r="B1146" s="606"/>
      <c r="C1146" s="1046"/>
      <c r="D1146" s="1048"/>
      <c r="E1146" s="1068"/>
      <c r="F1146" s="1044"/>
      <c r="G1146" s="1077">
        <f t="shared" si="17"/>
        <v>0</v>
      </c>
      <c r="H1146" s="1042" t="str">
        <f>IF(C1146="","",VLOOKUP(C1146,Compte!$A$3:$B$346,2,0))</f>
        <v/>
      </c>
      <c r="I1146" s="1043" t="str">
        <f>IF(D1146="","",VLOOKUP(D1146,Compte!$A$3:$B$346,2,0))</f>
        <v/>
      </c>
    </row>
    <row r="1147" spans="1:9">
      <c r="A1147" s="1206"/>
      <c r="B1147" s="606"/>
      <c r="C1147" s="1046"/>
      <c r="D1147" s="1048"/>
      <c r="E1147" s="1068"/>
      <c r="F1147" s="1044"/>
      <c r="G1147" s="1077">
        <f t="shared" si="17"/>
        <v>0</v>
      </c>
      <c r="H1147" s="1042" t="str">
        <f>IF(C1147="","",VLOOKUP(C1147,Compte!$A$3:$B$346,2,0))</f>
        <v/>
      </c>
      <c r="I1147" s="1043" t="str">
        <f>IF(D1147="","",VLOOKUP(D1147,Compte!$A$3:$B$346,2,0))</f>
        <v/>
      </c>
    </row>
    <row r="1148" spans="1:9">
      <c r="A1148" s="1206"/>
      <c r="B1148" s="606"/>
      <c r="C1148" s="1046"/>
      <c r="D1148" s="1048"/>
      <c r="E1148" s="1068"/>
      <c r="F1148" s="1044"/>
      <c r="G1148" s="1077">
        <f t="shared" si="17"/>
        <v>0</v>
      </c>
      <c r="H1148" s="1042" t="str">
        <f>IF(C1148="","",VLOOKUP(C1148,Compte!$A$3:$B$346,2,0))</f>
        <v/>
      </c>
      <c r="I1148" s="1043" t="str">
        <f>IF(D1148="","",VLOOKUP(D1148,Compte!$A$3:$B$346,2,0))</f>
        <v/>
      </c>
    </row>
    <row r="1149" spans="1:9">
      <c r="A1149" s="1206"/>
      <c r="B1149" s="606"/>
      <c r="C1149" s="1046"/>
      <c r="D1149" s="1048"/>
      <c r="E1149" s="1068"/>
      <c r="F1149" s="1044"/>
      <c r="G1149" s="1077">
        <f t="shared" si="17"/>
        <v>0</v>
      </c>
      <c r="H1149" s="1042" t="str">
        <f>IF(C1149="","",VLOOKUP(C1149,Compte!$A$3:$B$346,2,0))</f>
        <v/>
      </c>
      <c r="I1149" s="1043" t="str">
        <f>IF(D1149="","",VLOOKUP(D1149,Compte!$A$3:$B$346,2,0))</f>
        <v/>
      </c>
    </row>
    <row r="1150" spans="1:9">
      <c r="A1150" s="1206"/>
      <c r="B1150" s="606"/>
      <c r="C1150" s="1046"/>
      <c r="D1150" s="1048"/>
      <c r="E1150" s="1068"/>
      <c r="F1150" s="1044"/>
      <c r="G1150" s="1077">
        <f t="shared" si="17"/>
        <v>0</v>
      </c>
      <c r="H1150" s="1042" t="str">
        <f>IF(C1150="","",VLOOKUP(C1150,Compte!$A$3:$B$346,2,0))</f>
        <v/>
      </c>
      <c r="I1150" s="1043" t="str">
        <f>IF(D1150="","",VLOOKUP(D1150,Compte!$A$3:$B$346,2,0))</f>
        <v/>
      </c>
    </row>
    <row r="1151" spans="1:9">
      <c r="A1151" s="1206"/>
      <c r="B1151" s="606"/>
      <c r="C1151" s="1046"/>
      <c r="D1151" s="1048"/>
      <c r="E1151" s="1068"/>
      <c r="F1151" s="1044"/>
      <c r="G1151" s="1077">
        <f t="shared" si="17"/>
        <v>0</v>
      </c>
      <c r="H1151" s="1042" t="str">
        <f>IF(C1151="","",VLOOKUP(C1151,Compte!$A$3:$B$346,2,0))</f>
        <v/>
      </c>
      <c r="I1151" s="1043" t="str">
        <f>IF(D1151="","",VLOOKUP(D1151,Compte!$A$3:$B$346,2,0))</f>
        <v/>
      </c>
    </row>
    <row r="1152" spans="1:9">
      <c r="A1152" s="1206"/>
      <c r="B1152" s="606"/>
      <c r="C1152" s="1046"/>
      <c r="D1152" s="1048"/>
      <c r="E1152" s="1068"/>
      <c r="F1152" s="1044"/>
      <c r="G1152" s="1077">
        <f t="shared" si="17"/>
        <v>0</v>
      </c>
      <c r="H1152" s="1042" t="str">
        <f>IF(C1152="","",VLOOKUP(C1152,Compte!$A$3:$B$346,2,0))</f>
        <v/>
      </c>
      <c r="I1152" s="1043" t="str">
        <f>IF(D1152="","",VLOOKUP(D1152,Compte!$A$3:$B$346,2,0))</f>
        <v/>
      </c>
    </row>
    <row r="1153" spans="1:9">
      <c r="A1153" s="1206"/>
      <c r="B1153" s="606"/>
      <c r="C1153" s="1046"/>
      <c r="D1153" s="1048"/>
      <c r="E1153" s="1068"/>
      <c r="F1153" s="1044"/>
      <c r="G1153" s="1077">
        <f t="shared" si="17"/>
        <v>0</v>
      </c>
      <c r="H1153" s="1042" t="str">
        <f>IF(C1153="","",VLOOKUP(C1153,Compte!$A$3:$B$346,2,0))</f>
        <v/>
      </c>
      <c r="I1153" s="1043" t="str">
        <f>IF(D1153="","",VLOOKUP(D1153,Compte!$A$3:$B$346,2,0))</f>
        <v/>
      </c>
    </row>
    <row r="1154" spans="1:9">
      <c r="A1154" s="1206"/>
      <c r="B1154" s="606"/>
      <c r="C1154" s="1046"/>
      <c r="D1154" s="1048"/>
      <c r="E1154" s="1068"/>
      <c r="F1154" s="1044"/>
      <c r="G1154" s="1077">
        <f t="shared" si="17"/>
        <v>0</v>
      </c>
      <c r="H1154" s="1042" t="str">
        <f>IF(C1154="","",VLOOKUP(C1154,Compte!$A$3:$B$346,2,0))</f>
        <v/>
      </c>
      <c r="I1154" s="1043" t="str">
        <f>IF(D1154="","",VLOOKUP(D1154,Compte!$A$3:$B$346,2,0))</f>
        <v/>
      </c>
    </row>
    <row r="1155" spans="1:9">
      <c r="A1155" s="1206"/>
      <c r="B1155" s="606"/>
      <c r="C1155" s="1046"/>
      <c r="D1155" s="1048"/>
      <c r="E1155" s="1068"/>
      <c r="F1155" s="1044"/>
      <c r="G1155" s="1077">
        <f t="shared" si="17"/>
        <v>0</v>
      </c>
      <c r="H1155" s="1042" t="str">
        <f>IF(C1155="","",VLOOKUP(C1155,Compte!$A$3:$B$346,2,0))</f>
        <v/>
      </c>
      <c r="I1155" s="1043" t="str">
        <f>IF(D1155="","",VLOOKUP(D1155,Compte!$A$3:$B$346,2,0))</f>
        <v/>
      </c>
    </row>
    <row r="1156" spans="1:9">
      <c r="A1156" s="1206"/>
      <c r="B1156" s="606"/>
      <c r="C1156" s="1046"/>
      <c r="D1156" s="1048"/>
      <c r="E1156" s="1068"/>
      <c r="F1156" s="1044"/>
      <c r="G1156" s="1077">
        <f t="shared" si="17"/>
        <v>0</v>
      </c>
      <c r="H1156" s="1042" t="str">
        <f>IF(C1156="","",VLOOKUP(C1156,Compte!$A$3:$B$346,2,0))</f>
        <v/>
      </c>
      <c r="I1156" s="1043" t="str">
        <f>IF(D1156="","",VLOOKUP(D1156,Compte!$A$3:$B$346,2,0))</f>
        <v/>
      </c>
    </row>
    <row r="1157" spans="1:9">
      <c r="A1157" s="1206"/>
      <c r="B1157" s="606"/>
      <c r="C1157" s="1046"/>
      <c r="D1157" s="1048"/>
      <c r="E1157" s="1068"/>
      <c r="F1157" s="1044"/>
      <c r="G1157" s="1077">
        <f t="shared" si="17"/>
        <v>0</v>
      </c>
      <c r="H1157" s="1042" t="str">
        <f>IF(C1157="","",VLOOKUP(C1157,Compte!$A$3:$B$346,2,0))</f>
        <v/>
      </c>
      <c r="I1157" s="1043" t="str">
        <f>IF(D1157="","",VLOOKUP(D1157,Compte!$A$3:$B$346,2,0))</f>
        <v/>
      </c>
    </row>
    <row r="1158" spans="1:9">
      <c r="A1158" s="1206"/>
      <c r="B1158" s="606"/>
      <c r="C1158" s="1046"/>
      <c r="D1158" s="1048"/>
      <c r="E1158" s="1068"/>
      <c r="F1158" s="1044"/>
      <c r="G1158" s="1077">
        <f t="shared" si="17"/>
        <v>0</v>
      </c>
      <c r="H1158" s="1042" t="str">
        <f>IF(C1158="","",VLOOKUP(C1158,Compte!$A$3:$B$346,2,0))</f>
        <v/>
      </c>
      <c r="I1158" s="1043" t="str">
        <f>IF(D1158="","",VLOOKUP(D1158,Compte!$A$3:$B$346,2,0))</f>
        <v/>
      </c>
    </row>
    <row r="1159" spans="1:9">
      <c r="A1159" s="1206"/>
      <c r="B1159" s="606"/>
      <c r="C1159" s="1046"/>
      <c r="D1159" s="1048"/>
      <c r="E1159" s="1068"/>
      <c r="F1159" s="1044"/>
      <c r="G1159" s="1077">
        <f t="shared" si="17"/>
        <v>0</v>
      </c>
      <c r="H1159" s="1042" t="str">
        <f>IF(C1159="","",VLOOKUP(C1159,Compte!$A$3:$B$346,2,0))</f>
        <v/>
      </c>
      <c r="I1159" s="1043" t="str">
        <f>IF(D1159="","",VLOOKUP(D1159,Compte!$A$3:$B$346,2,0))</f>
        <v/>
      </c>
    </row>
    <row r="1160" spans="1:9">
      <c r="A1160" s="1206"/>
      <c r="B1160" s="606"/>
      <c r="C1160" s="1046"/>
      <c r="D1160" s="1048"/>
      <c r="E1160" s="1068"/>
      <c r="F1160" s="1044"/>
      <c r="G1160" s="1077">
        <f t="shared" ref="G1160:G1223" si="18">IF(C1160="",F1160,E1160)</f>
        <v>0</v>
      </c>
      <c r="H1160" s="1042" t="str">
        <f>IF(C1160="","",VLOOKUP(C1160,Compte!$A$3:$B$346,2,0))</f>
        <v/>
      </c>
      <c r="I1160" s="1043" t="str">
        <f>IF(D1160="","",VLOOKUP(D1160,Compte!$A$3:$B$346,2,0))</f>
        <v/>
      </c>
    </row>
    <row r="1161" spans="1:9">
      <c r="A1161" s="1206"/>
      <c r="B1161" s="606"/>
      <c r="C1161" s="1046"/>
      <c r="D1161" s="1048"/>
      <c r="E1161" s="1068"/>
      <c r="F1161" s="1044"/>
      <c r="G1161" s="1077">
        <f t="shared" si="18"/>
        <v>0</v>
      </c>
      <c r="H1161" s="1042" t="str">
        <f>IF(C1161="","",VLOOKUP(C1161,Compte!$A$3:$B$346,2,0))</f>
        <v/>
      </c>
      <c r="I1161" s="1043" t="str">
        <f>IF(D1161="","",VLOOKUP(D1161,Compte!$A$3:$B$346,2,0))</f>
        <v/>
      </c>
    </row>
    <row r="1162" spans="1:9">
      <c r="A1162" s="1206"/>
      <c r="B1162" s="606"/>
      <c r="C1162" s="1046"/>
      <c r="D1162" s="1048"/>
      <c r="E1162" s="1068"/>
      <c r="F1162" s="1044"/>
      <c r="G1162" s="1077">
        <f t="shared" si="18"/>
        <v>0</v>
      </c>
      <c r="H1162" s="1042" t="str">
        <f>IF(C1162="","",VLOOKUP(C1162,Compte!$A$3:$B$346,2,0))</f>
        <v/>
      </c>
      <c r="I1162" s="1043" t="str">
        <f>IF(D1162="","",VLOOKUP(D1162,Compte!$A$3:$B$346,2,0))</f>
        <v/>
      </c>
    </row>
    <row r="1163" spans="1:9">
      <c r="A1163" s="1206"/>
      <c r="B1163" s="606"/>
      <c r="C1163" s="1046"/>
      <c r="D1163" s="1048"/>
      <c r="E1163" s="1068"/>
      <c r="F1163" s="1044"/>
      <c r="G1163" s="1077">
        <f t="shared" si="18"/>
        <v>0</v>
      </c>
      <c r="H1163" s="1042" t="str">
        <f>IF(C1163="","",VLOOKUP(C1163,Compte!$A$3:$B$346,2,0))</f>
        <v/>
      </c>
      <c r="I1163" s="1043" t="str">
        <f>IF(D1163="","",VLOOKUP(D1163,Compte!$A$3:$B$346,2,0))</f>
        <v/>
      </c>
    </row>
    <row r="1164" spans="1:9">
      <c r="A1164" s="1206"/>
      <c r="B1164" s="606"/>
      <c r="C1164" s="1046"/>
      <c r="D1164" s="1048"/>
      <c r="E1164" s="1068"/>
      <c r="F1164" s="1044"/>
      <c r="G1164" s="1077">
        <f t="shared" si="18"/>
        <v>0</v>
      </c>
      <c r="H1164" s="1042" t="str">
        <f>IF(C1164="","",VLOOKUP(C1164,Compte!$A$3:$B$346,2,0))</f>
        <v/>
      </c>
      <c r="I1164" s="1043" t="str">
        <f>IF(D1164="","",VLOOKUP(D1164,Compte!$A$3:$B$346,2,0))</f>
        <v/>
      </c>
    </row>
    <row r="1165" spans="1:9">
      <c r="A1165" s="1206"/>
      <c r="B1165" s="606"/>
      <c r="C1165" s="1046"/>
      <c r="D1165" s="1048"/>
      <c r="E1165" s="1068"/>
      <c r="F1165" s="1044"/>
      <c r="G1165" s="1077">
        <f t="shared" si="18"/>
        <v>0</v>
      </c>
      <c r="H1165" s="1042" t="str">
        <f>IF(C1165="","",VLOOKUP(C1165,Compte!$A$3:$B$346,2,0))</f>
        <v/>
      </c>
      <c r="I1165" s="1043" t="str">
        <f>IF(D1165="","",VLOOKUP(D1165,Compte!$A$3:$B$346,2,0))</f>
        <v/>
      </c>
    </row>
    <row r="1166" spans="1:9">
      <c r="A1166" s="1206"/>
      <c r="B1166" s="606"/>
      <c r="C1166" s="1046"/>
      <c r="D1166" s="1048"/>
      <c r="E1166" s="1068"/>
      <c r="F1166" s="1044"/>
      <c r="G1166" s="1077">
        <f t="shared" si="18"/>
        <v>0</v>
      </c>
      <c r="H1166" s="1042" t="str">
        <f>IF(C1166="","",VLOOKUP(C1166,Compte!$A$3:$B$346,2,0))</f>
        <v/>
      </c>
      <c r="I1166" s="1043" t="str">
        <f>IF(D1166="","",VLOOKUP(D1166,Compte!$A$3:$B$346,2,0))</f>
        <v/>
      </c>
    </row>
    <row r="1167" spans="1:9">
      <c r="A1167" s="1206"/>
      <c r="B1167" s="606"/>
      <c r="C1167" s="1046"/>
      <c r="D1167" s="1048"/>
      <c r="E1167" s="1068"/>
      <c r="F1167" s="1044"/>
      <c r="G1167" s="1077">
        <f t="shared" si="18"/>
        <v>0</v>
      </c>
      <c r="H1167" s="1042" t="str">
        <f>IF(C1167="","",VLOOKUP(C1167,Compte!$A$3:$B$346,2,0))</f>
        <v/>
      </c>
      <c r="I1167" s="1043" t="str">
        <f>IF(D1167="","",VLOOKUP(D1167,Compte!$A$3:$B$346,2,0))</f>
        <v/>
      </c>
    </row>
    <row r="1168" spans="1:9">
      <c r="A1168" s="1206"/>
      <c r="B1168" s="606"/>
      <c r="C1168" s="1046"/>
      <c r="D1168" s="1048"/>
      <c r="E1168" s="1068"/>
      <c r="F1168" s="1044"/>
      <c r="G1168" s="1077">
        <f t="shared" si="18"/>
        <v>0</v>
      </c>
      <c r="H1168" s="1042" t="str">
        <f>IF(C1168="","",VLOOKUP(C1168,Compte!$A$3:$B$346,2,0))</f>
        <v/>
      </c>
      <c r="I1168" s="1043" t="str">
        <f>IF(D1168="","",VLOOKUP(D1168,Compte!$A$3:$B$346,2,0))</f>
        <v/>
      </c>
    </row>
    <row r="1169" spans="1:9">
      <c r="A1169" s="1206"/>
      <c r="B1169" s="606"/>
      <c r="C1169" s="1046"/>
      <c r="D1169" s="1048"/>
      <c r="E1169" s="1068"/>
      <c r="F1169" s="1044"/>
      <c r="G1169" s="1077">
        <f t="shared" si="18"/>
        <v>0</v>
      </c>
      <c r="H1169" s="1042" t="str">
        <f>IF(C1169="","",VLOOKUP(C1169,Compte!$A$3:$B$346,2,0))</f>
        <v/>
      </c>
      <c r="I1169" s="1043" t="str">
        <f>IF(D1169="","",VLOOKUP(D1169,Compte!$A$3:$B$346,2,0))</f>
        <v/>
      </c>
    </row>
    <row r="1170" spans="1:9">
      <c r="A1170" s="1206"/>
      <c r="B1170" s="606"/>
      <c r="C1170" s="1046"/>
      <c r="D1170" s="1048"/>
      <c r="E1170" s="1068"/>
      <c r="F1170" s="1044"/>
      <c r="G1170" s="1077">
        <f t="shared" si="18"/>
        <v>0</v>
      </c>
      <c r="H1170" s="1042" t="str">
        <f>IF(C1170="","",VLOOKUP(C1170,Compte!$A$3:$B$346,2,0))</f>
        <v/>
      </c>
      <c r="I1170" s="1043" t="str">
        <f>IF(D1170="","",VLOOKUP(D1170,Compte!$A$3:$B$346,2,0))</f>
        <v/>
      </c>
    </row>
    <row r="1171" spans="1:9">
      <c r="A1171" s="1206"/>
      <c r="B1171" s="606"/>
      <c r="C1171" s="1046"/>
      <c r="D1171" s="1048"/>
      <c r="E1171" s="1068"/>
      <c r="F1171" s="1044"/>
      <c r="G1171" s="1077">
        <f t="shared" si="18"/>
        <v>0</v>
      </c>
      <c r="H1171" s="1042" t="str">
        <f>IF(C1171="","",VLOOKUP(C1171,Compte!$A$3:$B$346,2,0))</f>
        <v/>
      </c>
      <c r="I1171" s="1043" t="str">
        <f>IF(D1171="","",VLOOKUP(D1171,Compte!$A$3:$B$346,2,0))</f>
        <v/>
      </c>
    </row>
    <row r="1172" spans="1:9">
      <c r="A1172" s="1206"/>
      <c r="B1172" s="606"/>
      <c r="C1172" s="1046"/>
      <c r="D1172" s="1048"/>
      <c r="E1172" s="1068"/>
      <c r="F1172" s="1044"/>
      <c r="G1172" s="1077">
        <f t="shared" si="18"/>
        <v>0</v>
      </c>
      <c r="H1172" s="1042" t="str">
        <f>IF(C1172="","",VLOOKUP(C1172,Compte!$A$3:$B$346,2,0))</f>
        <v/>
      </c>
      <c r="I1172" s="1043" t="str">
        <f>IF(D1172="","",VLOOKUP(D1172,Compte!$A$3:$B$346,2,0))</f>
        <v/>
      </c>
    </row>
    <row r="1173" spans="1:9">
      <c r="A1173" s="1206"/>
      <c r="B1173" s="606"/>
      <c r="C1173" s="1046"/>
      <c r="D1173" s="1048"/>
      <c r="E1173" s="1068"/>
      <c r="F1173" s="1044"/>
      <c r="G1173" s="1077">
        <f t="shared" si="18"/>
        <v>0</v>
      </c>
      <c r="H1173" s="1042" t="str">
        <f>IF(C1173="","",VLOOKUP(C1173,Compte!$A$3:$B$346,2,0))</f>
        <v/>
      </c>
      <c r="I1173" s="1043" t="str">
        <f>IF(D1173="","",VLOOKUP(D1173,Compte!$A$3:$B$346,2,0))</f>
        <v/>
      </c>
    </row>
    <row r="1174" spans="1:9">
      <c r="A1174" s="1206"/>
      <c r="B1174" s="606"/>
      <c r="C1174" s="1046"/>
      <c r="D1174" s="1048"/>
      <c r="E1174" s="1068"/>
      <c r="F1174" s="1044"/>
      <c r="G1174" s="1077">
        <f t="shared" si="18"/>
        <v>0</v>
      </c>
      <c r="H1174" s="1042" t="str">
        <f>IF(C1174="","",VLOOKUP(C1174,Compte!$A$3:$B$346,2,0))</f>
        <v/>
      </c>
      <c r="I1174" s="1043" t="str">
        <f>IF(D1174="","",VLOOKUP(D1174,Compte!$A$3:$B$346,2,0))</f>
        <v/>
      </c>
    </row>
    <row r="1175" spans="1:9">
      <c r="A1175" s="1206"/>
      <c r="B1175" s="606"/>
      <c r="C1175" s="1046"/>
      <c r="D1175" s="1048"/>
      <c r="E1175" s="1068"/>
      <c r="F1175" s="1044"/>
      <c r="G1175" s="1077">
        <f t="shared" si="18"/>
        <v>0</v>
      </c>
      <c r="H1175" s="1042" t="str">
        <f>IF(C1175="","",VLOOKUP(C1175,Compte!$A$3:$B$346,2,0))</f>
        <v/>
      </c>
      <c r="I1175" s="1043" t="str">
        <f>IF(D1175="","",VLOOKUP(D1175,Compte!$A$3:$B$346,2,0))</f>
        <v/>
      </c>
    </row>
    <row r="1176" spans="1:9">
      <c r="A1176" s="1206"/>
      <c r="B1176" s="606"/>
      <c r="C1176" s="1046"/>
      <c r="D1176" s="1048"/>
      <c r="E1176" s="1068"/>
      <c r="F1176" s="1044"/>
      <c r="G1176" s="1077">
        <f t="shared" si="18"/>
        <v>0</v>
      </c>
      <c r="H1176" s="1042" t="str">
        <f>IF(C1176="","",VLOOKUP(C1176,Compte!$A$3:$B$346,2,0))</f>
        <v/>
      </c>
      <c r="I1176" s="1043" t="str">
        <f>IF(D1176="","",VLOOKUP(D1176,Compte!$A$3:$B$346,2,0))</f>
        <v/>
      </c>
    </row>
    <row r="1177" spans="1:9">
      <c r="A1177" s="1206"/>
      <c r="B1177" s="606"/>
      <c r="C1177" s="1046"/>
      <c r="D1177" s="1048"/>
      <c r="E1177" s="1068"/>
      <c r="F1177" s="1044"/>
      <c r="G1177" s="1077">
        <f t="shared" si="18"/>
        <v>0</v>
      </c>
      <c r="H1177" s="1042" t="str">
        <f>IF(C1177="","",VLOOKUP(C1177,Compte!$A$3:$B$346,2,0))</f>
        <v/>
      </c>
      <c r="I1177" s="1043" t="str">
        <f>IF(D1177="","",VLOOKUP(D1177,Compte!$A$3:$B$346,2,0))</f>
        <v/>
      </c>
    </row>
    <row r="1178" spans="1:9">
      <c r="A1178" s="1206"/>
      <c r="B1178" s="606"/>
      <c r="C1178" s="1046"/>
      <c r="D1178" s="1048"/>
      <c r="E1178" s="1068"/>
      <c r="F1178" s="1044"/>
      <c r="G1178" s="1077">
        <f t="shared" si="18"/>
        <v>0</v>
      </c>
      <c r="H1178" s="1042" t="str">
        <f>IF(C1178="","",VLOOKUP(C1178,Compte!$A$3:$B$346,2,0))</f>
        <v/>
      </c>
      <c r="I1178" s="1043" t="str">
        <f>IF(D1178="","",VLOOKUP(D1178,Compte!$A$3:$B$346,2,0))</f>
        <v/>
      </c>
    </row>
    <row r="1179" spans="1:9">
      <c r="A1179" s="1206"/>
      <c r="B1179" s="606"/>
      <c r="C1179" s="1046"/>
      <c r="D1179" s="1048"/>
      <c r="E1179" s="1068"/>
      <c r="F1179" s="1044"/>
      <c r="G1179" s="1077">
        <f t="shared" si="18"/>
        <v>0</v>
      </c>
      <c r="H1179" s="1042" t="str">
        <f>IF(C1179="","",VLOOKUP(C1179,Compte!$A$3:$B$346,2,0))</f>
        <v/>
      </c>
      <c r="I1179" s="1043" t="str">
        <f>IF(D1179="","",VLOOKUP(D1179,Compte!$A$3:$B$346,2,0))</f>
        <v/>
      </c>
    </row>
    <row r="1180" spans="1:9">
      <c r="A1180" s="1206"/>
      <c r="B1180" s="606"/>
      <c r="C1180" s="1046"/>
      <c r="D1180" s="1048"/>
      <c r="E1180" s="1068"/>
      <c r="F1180" s="1044"/>
      <c r="G1180" s="1077">
        <f t="shared" si="18"/>
        <v>0</v>
      </c>
      <c r="H1180" s="1042" t="str">
        <f>IF(C1180="","",VLOOKUP(C1180,Compte!$A$3:$B$346,2,0))</f>
        <v/>
      </c>
      <c r="I1180" s="1043" t="str">
        <f>IF(D1180="","",VLOOKUP(D1180,Compte!$A$3:$B$346,2,0))</f>
        <v/>
      </c>
    </row>
    <row r="1181" spans="1:9">
      <c r="A1181" s="1206"/>
      <c r="B1181" s="606"/>
      <c r="C1181" s="1046"/>
      <c r="D1181" s="1048"/>
      <c r="E1181" s="1068"/>
      <c r="F1181" s="1044"/>
      <c r="G1181" s="1077">
        <f t="shared" si="18"/>
        <v>0</v>
      </c>
      <c r="H1181" s="1042" t="str">
        <f>IF(C1181="","",VLOOKUP(C1181,Compte!$A$3:$B$346,2,0))</f>
        <v/>
      </c>
      <c r="I1181" s="1043" t="str">
        <f>IF(D1181="","",VLOOKUP(D1181,Compte!$A$3:$B$346,2,0))</f>
        <v/>
      </c>
    </row>
    <row r="1182" spans="1:9">
      <c r="A1182" s="1206"/>
      <c r="B1182" s="606"/>
      <c r="C1182" s="1046"/>
      <c r="D1182" s="1048"/>
      <c r="E1182" s="1068"/>
      <c r="F1182" s="1044"/>
      <c r="G1182" s="1077">
        <f t="shared" si="18"/>
        <v>0</v>
      </c>
      <c r="H1182" s="1042" t="str">
        <f>IF(C1182="","",VLOOKUP(C1182,Compte!$A$3:$B$346,2,0))</f>
        <v/>
      </c>
      <c r="I1182" s="1043" t="str">
        <f>IF(D1182="","",VLOOKUP(D1182,Compte!$A$3:$B$346,2,0))</f>
        <v/>
      </c>
    </row>
    <row r="1183" spans="1:9">
      <c r="A1183" s="1206"/>
      <c r="B1183" s="606"/>
      <c r="C1183" s="1046"/>
      <c r="D1183" s="1048"/>
      <c r="E1183" s="1068"/>
      <c r="F1183" s="1044"/>
      <c r="G1183" s="1077">
        <f t="shared" si="18"/>
        <v>0</v>
      </c>
      <c r="H1183" s="1042" t="str">
        <f>IF(C1183="","",VLOOKUP(C1183,Compte!$A$3:$B$346,2,0))</f>
        <v/>
      </c>
      <c r="I1183" s="1043" t="str">
        <f>IF(D1183="","",VLOOKUP(D1183,Compte!$A$3:$B$346,2,0))</f>
        <v/>
      </c>
    </row>
    <row r="1184" spans="1:9">
      <c r="A1184" s="1206"/>
      <c r="B1184" s="606"/>
      <c r="C1184" s="1046"/>
      <c r="D1184" s="1048"/>
      <c r="E1184" s="1068"/>
      <c r="F1184" s="1044"/>
      <c r="G1184" s="1077">
        <f t="shared" si="18"/>
        <v>0</v>
      </c>
      <c r="H1184" s="1042" t="str">
        <f>IF(C1184="","",VLOOKUP(C1184,Compte!$A$3:$B$346,2,0))</f>
        <v/>
      </c>
      <c r="I1184" s="1043" t="str">
        <f>IF(D1184="","",VLOOKUP(D1184,Compte!$A$3:$B$346,2,0))</f>
        <v/>
      </c>
    </row>
    <row r="1185" spans="1:9">
      <c r="A1185" s="1206"/>
      <c r="B1185" s="606"/>
      <c r="C1185" s="1046"/>
      <c r="D1185" s="1048"/>
      <c r="E1185" s="1068"/>
      <c r="F1185" s="1044"/>
      <c r="G1185" s="1077">
        <f t="shared" si="18"/>
        <v>0</v>
      </c>
      <c r="H1185" s="1042" t="str">
        <f>IF(C1185="","",VLOOKUP(C1185,Compte!$A$3:$B$346,2,0))</f>
        <v/>
      </c>
      <c r="I1185" s="1043" t="str">
        <f>IF(D1185="","",VLOOKUP(D1185,Compte!$A$3:$B$346,2,0))</f>
        <v/>
      </c>
    </row>
    <row r="1186" spans="1:9">
      <c r="A1186" s="1206"/>
      <c r="B1186" s="606"/>
      <c r="C1186" s="1046"/>
      <c r="D1186" s="1048"/>
      <c r="E1186" s="1068"/>
      <c r="F1186" s="1044"/>
      <c r="G1186" s="1077">
        <f t="shared" si="18"/>
        <v>0</v>
      </c>
      <c r="H1186" s="1042" t="str">
        <f>IF(C1186="","",VLOOKUP(C1186,Compte!$A$3:$B$346,2,0))</f>
        <v/>
      </c>
      <c r="I1186" s="1043" t="str">
        <f>IF(D1186="","",VLOOKUP(D1186,Compte!$A$3:$B$346,2,0))</f>
        <v/>
      </c>
    </row>
    <row r="1187" spans="1:9">
      <c r="A1187" s="1206"/>
      <c r="B1187" s="606"/>
      <c r="C1187" s="1046"/>
      <c r="D1187" s="1048"/>
      <c r="E1187" s="1068"/>
      <c r="F1187" s="1044"/>
      <c r="G1187" s="1077">
        <f t="shared" si="18"/>
        <v>0</v>
      </c>
      <c r="H1187" s="1042" t="str">
        <f>IF(C1187="","",VLOOKUP(C1187,Compte!$A$3:$B$346,2,0))</f>
        <v/>
      </c>
      <c r="I1187" s="1043" t="str">
        <f>IF(D1187="","",VLOOKUP(D1187,Compte!$A$3:$B$346,2,0))</f>
        <v/>
      </c>
    </row>
    <row r="1188" spans="1:9">
      <c r="A1188" s="1206"/>
      <c r="B1188" s="606"/>
      <c r="C1188" s="1046"/>
      <c r="D1188" s="1048"/>
      <c r="E1188" s="1068"/>
      <c r="F1188" s="1044"/>
      <c r="G1188" s="1077">
        <f t="shared" si="18"/>
        <v>0</v>
      </c>
      <c r="H1188" s="1042" t="str">
        <f>IF(C1188="","",VLOOKUP(C1188,Compte!$A$3:$B$346,2,0))</f>
        <v/>
      </c>
      <c r="I1188" s="1043" t="str">
        <f>IF(D1188="","",VLOOKUP(D1188,Compte!$A$3:$B$346,2,0))</f>
        <v/>
      </c>
    </row>
    <row r="1189" spans="1:9">
      <c r="A1189" s="1206"/>
      <c r="B1189" s="606"/>
      <c r="C1189" s="1046"/>
      <c r="D1189" s="1048"/>
      <c r="E1189" s="1068"/>
      <c r="F1189" s="1044"/>
      <c r="G1189" s="1077">
        <f t="shared" si="18"/>
        <v>0</v>
      </c>
      <c r="H1189" s="1042" t="str">
        <f>IF(C1189="","",VLOOKUP(C1189,Compte!$A$3:$B$346,2,0))</f>
        <v/>
      </c>
      <c r="I1189" s="1043" t="str">
        <f>IF(D1189="","",VLOOKUP(D1189,Compte!$A$3:$B$346,2,0))</f>
        <v/>
      </c>
    </row>
    <row r="1190" spans="1:9">
      <c r="A1190" s="1206"/>
      <c r="B1190" s="606"/>
      <c r="C1190" s="1046"/>
      <c r="D1190" s="1048"/>
      <c r="E1190" s="1068"/>
      <c r="F1190" s="1044"/>
      <c r="G1190" s="1077">
        <f t="shared" si="18"/>
        <v>0</v>
      </c>
      <c r="H1190" s="1042" t="str">
        <f>IF(C1190="","",VLOOKUP(C1190,Compte!$A$3:$B$346,2,0))</f>
        <v/>
      </c>
      <c r="I1190" s="1043" t="str">
        <f>IF(D1190="","",VLOOKUP(D1190,Compte!$A$3:$B$346,2,0))</f>
        <v/>
      </c>
    </row>
    <row r="1191" spans="1:9">
      <c r="A1191" s="1206"/>
      <c r="B1191" s="606"/>
      <c r="C1191" s="1046"/>
      <c r="D1191" s="1048"/>
      <c r="E1191" s="1068"/>
      <c r="F1191" s="1044"/>
      <c r="G1191" s="1077">
        <f t="shared" si="18"/>
        <v>0</v>
      </c>
      <c r="H1191" s="1042" t="str">
        <f>IF(C1191="","",VLOOKUP(C1191,Compte!$A$3:$B$346,2,0))</f>
        <v/>
      </c>
      <c r="I1191" s="1043" t="str">
        <f>IF(D1191="","",VLOOKUP(D1191,Compte!$A$3:$B$346,2,0))</f>
        <v/>
      </c>
    </row>
    <row r="1192" spans="1:9">
      <c r="A1192" s="1206"/>
      <c r="B1192" s="606"/>
      <c r="C1192" s="1046"/>
      <c r="D1192" s="1048"/>
      <c r="E1192" s="1068"/>
      <c r="F1192" s="1044"/>
      <c r="G1192" s="1077">
        <f t="shared" si="18"/>
        <v>0</v>
      </c>
      <c r="H1192" s="1042" t="str">
        <f>IF(C1192="","",VLOOKUP(C1192,Compte!$A$3:$B$346,2,0))</f>
        <v/>
      </c>
      <c r="I1192" s="1043" t="str">
        <f>IF(D1192="","",VLOOKUP(D1192,Compte!$A$3:$B$346,2,0))</f>
        <v/>
      </c>
    </row>
    <row r="1193" spans="1:9">
      <c r="A1193" s="1206"/>
      <c r="B1193" s="606"/>
      <c r="C1193" s="1046"/>
      <c r="D1193" s="1048"/>
      <c r="E1193" s="1068"/>
      <c r="F1193" s="1044"/>
      <c r="G1193" s="1077">
        <f t="shared" si="18"/>
        <v>0</v>
      </c>
      <c r="H1193" s="1042" t="str">
        <f>IF(C1193="","",VLOOKUP(C1193,Compte!$A$3:$B$346,2,0))</f>
        <v/>
      </c>
      <c r="I1193" s="1043" t="str">
        <f>IF(D1193="","",VLOOKUP(D1193,Compte!$A$3:$B$346,2,0))</f>
        <v/>
      </c>
    </row>
    <row r="1194" spans="1:9">
      <c r="A1194" s="1206"/>
      <c r="B1194" s="606"/>
      <c r="C1194" s="1046"/>
      <c r="D1194" s="1048"/>
      <c r="E1194" s="1068"/>
      <c r="F1194" s="1044"/>
      <c r="G1194" s="1077">
        <f t="shared" si="18"/>
        <v>0</v>
      </c>
      <c r="H1194" s="1042" t="str">
        <f>IF(C1194="","",VLOOKUP(C1194,Compte!$A$3:$B$346,2,0))</f>
        <v/>
      </c>
      <c r="I1194" s="1043" t="str">
        <f>IF(D1194="","",VLOOKUP(D1194,Compte!$A$3:$B$346,2,0))</f>
        <v/>
      </c>
    </row>
    <row r="1195" spans="1:9">
      <c r="A1195" s="1206"/>
      <c r="B1195" s="606"/>
      <c r="C1195" s="1046"/>
      <c r="D1195" s="1048"/>
      <c r="E1195" s="1068"/>
      <c r="F1195" s="1044"/>
      <c r="G1195" s="1077">
        <f t="shared" si="18"/>
        <v>0</v>
      </c>
      <c r="H1195" s="1042" t="str">
        <f>IF(C1195="","",VLOOKUP(C1195,Compte!$A$3:$B$346,2,0))</f>
        <v/>
      </c>
      <c r="I1195" s="1043" t="str">
        <f>IF(D1195="","",VLOOKUP(D1195,Compte!$A$3:$B$346,2,0))</f>
        <v/>
      </c>
    </row>
    <row r="1196" spans="1:9">
      <c r="A1196" s="1206"/>
      <c r="B1196" s="606"/>
      <c r="C1196" s="1046"/>
      <c r="D1196" s="1048"/>
      <c r="E1196" s="1068"/>
      <c r="F1196" s="1044"/>
      <c r="G1196" s="1077">
        <f t="shared" si="18"/>
        <v>0</v>
      </c>
      <c r="H1196" s="1042" t="str">
        <f>IF(C1196="","",VLOOKUP(C1196,Compte!$A$3:$B$346,2,0))</f>
        <v/>
      </c>
      <c r="I1196" s="1043" t="str">
        <f>IF(D1196="","",VLOOKUP(D1196,Compte!$A$3:$B$346,2,0))</f>
        <v/>
      </c>
    </row>
    <row r="1197" spans="1:9">
      <c r="A1197" s="1206"/>
      <c r="B1197" s="606"/>
      <c r="C1197" s="1046"/>
      <c r="D1197" s="1048"/>
      <c r="E1197" s="1068"/>
      <c r="F1197" s="1044"/>
      <c r="G1197" s="1077">
        <f t="shared" si="18"/>
        <v>0</v>
      </c>
      <c r="H1197" s="1042" t="str">
        <f>IF(C1197="","",VLOOKUP(C1197,Compte!$A$3:$B$346,2,0))</f>
        <v/>
      </c>
      <c r="I1197" s="1043" t="str">
        <f>IF(D1197="","",VLOOKUP(D1197,Compte!$A$3:$B$346,2,0))</f>
        <v/>
      </c>
    </row>
    <row r="1198" spans="1:9">
      <c r="A1198" s="1206"/>
      <c r="B1198" s="606"/>
      <c r="C1198" s="1046"/>
      <c r="D1198" s="1048"/>
      <c r="E1198" s="1068"/>
      <c r="F1198" s="1044"/>
      <c r="G1198" s="1077">
        <f t="shared" si="18"/>
        <v>0</v>
      </c>
      <c r="H1198" s="1042" t="str">
        <f>IF(C1198="","",VLOOKUP(C1198,Compte!$A$3:$B$346,2,0))</f>
        <v/>
      </c>
      <c r="I1198" s="1043" t="str">
        <f>IF(D1198="","",VLOOKUP(D1198,Compte!$A$3:$B$346,2,0))</f>
        <v/>
      </c>
    </row>
    <row r="1199" spans="1:9">
      <c r="A1199" s="1206"/>
      <c r="B1199" s="606"/>
      <c r="C1199" s="1046"/>
      <c r="D1199" s="1048"/>
      <c r="E1199" s="1068"/>
      <c r="F1199" s="1044"/>
      <c r="G1199" s="1077">
        <f t="shared" si="18"/>
        <v>0</v>
      </c>
      <c r="H1199" s="1042" t="str">
        <f>IF(C1199="","",VLOOKUP(C1199,Compte!$A$3:$B$346,2,0))</f>
        <v/>
      </c>
      <c r="I1199" s="1043" t="str">
        <f>IF(D1199="","",VLOOKUP(D1199,Compte!$A$3:$B$346,2,0))</f>
        <v/>
      </c>
    </row>
    <row r="1200" spans="1:9">
      <c r="A1200" s="1206"/>
      <c r="B1200" s="606"/>
      <c r="C1200" s="1046"/>
      <c r="D1200" s="1048"/>
      <c r="E1200" s="1068"/>
      <c r="F1200" s="1044"/>
      <c r="G1200" s="1077">
        <f t="shared" si="18"/>
        <v>0</v>
      </c>
      <c r="H1200" s="1042" t="str">
        <f>IF(C1200="","",VLOOKUP(C1200,Compte!$A$3:$B$346,2,0))</f>
        <v/>
      </c>
      <c r="I1200" s="1043" t="str">
        <f>IF(D1200="","",VLOOKUP(D1200,Compte!$A$3:$B$346,2,0))</f>
        <v/>
      </c>
    </row>
    <row r="1201" spans="1:9">
      <c r="A1201" s="1206"/>
      <c r="B1201" s="606"/>
      <c r="C1201" s="1046"/>
      <c r="D1201" s="1048"/>
      <c r="E1201" s="1068"/>
      <c r="F1201" s="1044"/>
      <c r="G1201" s="1077">
        <f t="shared" si="18"/>
        <v>0</v>
      </c>
      <c r="H1201" s="1042" t="str">
        <f>IF(C1201="","",VLOOKUP(C1201,Compte!$A$3:$B$346,2,0))</f>
        <v/>
      </c>
      <c r="I1201" s="1043" t="str">
        <f>IF(D1201="","",VLOOKUP(D1201,Compte!$A$3:$B$346,2,0))</f>
        <v/>
      </c>
    </row>
    <row r="1202" spans="1:9">
      <c r="A1202" s="1206"/>
      <c r="B1202" s="606"/>
      <c r="C1202" s="1046"/>
      <c r="D1202" s="1048"/>
      <c r="E1202" s="1068"/>
      <c r="F1202" s="1044"/>
      <c r="G1202" s="1077">
        <f t="shared" si="18"/>
        <v>0</v>
      </c>
      <c r="H1202" s="1042" t="str">
        <f>IF(C1202="","",VLOOKUP(C1202,Compte!$A$3:$B$346,2,0))</f>
        <v/>
      </c>
      <c r="I1202" s="1043" t="str">
        <f>IF(D1202="","",VLOOKUP(D1202,Compte!$A$3:$B$346,2,0))</f>
        <v/>
      </c>
    </row>
    <row r="1203" spans="1:9">
      <c r="A1203" s="1206"/>
      <c r="B1203" s="606"/>
      <c r="C1203" s="1046"/>
      <c r="D1203" s="1048"/>
      <c r="E1203" s="1068"/>
      <c r="F1203" s="1044"/>
      <c r="G1203" s="1077">
        <f t="shared" si="18"/>
        <v>0</v>
      </c>
      <c r="H1203" s="1042" t="str">
        <f>IF(C1203="","",VLOOKUP(C1203,Compte!$A$3:$B$346,2,0))</f>
        <v/>
      </c>
      <c r="I1203" s="1043" t="str">
        <f>IF(D1203="","",VLOOKUP(D1203,Compte!$A$3:$B$346,2,0))</f>
        <v/>
      </c>
    </row>
    <row r="1204" spans="1:9">
      <c r="A1204" s="1206"/>
      <c r="B1204" s="606"/>
      <c r="C1204" s="1046"/>
      <c r="D1204" s="1048"/>
      <c r="E1204" s="1068"/>
      <c r="F1204" s="1044"/>
      <c r="G1204" s="1077">
        <f t="shared" si="18"/>
        <v>0</v>
      </c>
      <c r="H1204" s="1042" t="str">
        <f>IF(C1204="","",VLOOKUP(C1204,Compte!$A$3:$B$346,2,0))</f>
        <v/>
      </c>
      <c r="I1204" s="1043" t="str">
        <f>IF(D1204="","",VLOOKUP(D1204,Compte!$A$3:$B$346,2,0))</f>
        <v/>
      </c>
    </row>
    <row r="1205" spans="1:9">
      <c r="A1205" s="1206"/>
      <c r="B1205" s="606"/>
      <c r="C1205" s="1046"/>
      <c r="D1205" s="1048"/>
      <c r="E1205" s="1068"/>
      <c r="F1205" s="1044"/>
      <c r="G1205" s="1077">
        <f t="shared" si="18"/>
        <v>0</v>
      </c>
      <c r="H1205" s="1042" t="str">
        <f>IF(C1205="","",VLOOKUP(C1205,Compte!$A$3:$B$346,2,0))</f>
        <v/>
      </c>
      <c r="I1205" s="1043" t="str">
        <f>IF(D1205="","",VLOOKUP(D1205,Compte!$A$3:$B$346,2,0))</f>
        <v/>
      </c>
    </row>
    <row r="1206" spans="1:9">
      <c r="A1206" s="1206"/>
      <c r="B1206" s="606"/>
      <c r="C1206" s="1046"/>
      <c r="D1206" s="1048"/>
      <c r="E1206" s="1068"/>
      <c r="F1206" s="1044"/>
      <c r="G1206" s="1077">
        <f t="shared" si="18"/>
        <v>0</v>
      </c>
      <c r="H1206" s="1042" t="str">
        <f>IF(C1206="","",VLOOKUP(C1206,Compte!$A$3:$B$346,2,0))</f>
        <v/>
      </c>
      <c r="I1206" s="1043" t="str">
        <f>IF(D1206="","",VLOOKUP(D1206,Compte!$A$3:$B$346,2,0))</f>
        <v/>
      </c>
    </row>
    <row r="1207" spans="1:9">
      <c r="A1207" s="1206"/>
      <c r="B1207" s="606"/>
      <c r="C1207" s="1046"/>
      <c r="D1207" s="1048"/>
      <c r="E1207" s="1068"/>
      <c r="F1207" s="1044"/>
      <c r="G1207" s="1077">
        <f t="shared" si="18"/>
        <v>0</v>
      </c>
      <c r="H1207" s="1042" t="str">
        <f>IF(C1207="","",VLOOKUP(C1207,Compte!$A$3:$B$346,2,0))</f>
        <v/>
      </c>
      <c r="I1207" s="1043" t="str">
        <f>IF(D1207="","",VLOOKUP(D1207,Compte!$A$3:$B$346,2,0))</f>
        <v/>
      </c>
    </row>
    <row r="1208" spans="1:9">
      <c r="A1208" s="1206"/>
      <c r="B1208" s="606"/>
      <c r="C1208" s="1046"/>
      <c r="D1208" s="1048"/>
      <c r="E1208" s="1068"/>
      <c r="F1208" s="1044"/>
      <c r="G1208" s="1077">
        <f t="shared" si="18"/>
        <v>0</v>
      </c>
      <c r="H1208" s="1042" t="str">
        <f>IF(C1208="","",VLOOKUP(C1208,Compte!$A$3:$B$346,2,0))</f>
        <v/>
      </c>
      <c r="I1208" s="1043" t="str">
        <f>IF(D1208="","",VLOOKUP(D1208,Compte!$A$3:$B$346,2,0))</f>
        <v/>
      </c>
    </row>
    <row r="1209" spans="1:9">
      <c r="A1209" s="1206"/>
      <c r="B1209" s="606"/>
      <c r="C1209" s="1046"/>
      <c r="D1209" s="1048"/>
      <c r="E1209" s="1068"/>
      <c r="F1209" s="1044"/>
      <c r="G1209" s="1077">
        <f t="shared" si="18"/>
        <v>0</v>
      </c>
      <c r="H1209" s="1042" t="str">
        <f>IF(C1209="","",VLOOKUP(C1209,Compte!$A$3:$B$346,2,0))</f>
        <v/>
      </c>
      <c r="I1209" s="1043" t="str">
        <f>IF(D1209="","",VLOOKUP(D1209,Compte!$A$3:$B$346,2,0))</f>
        <v/>
      </c>
    </row>
    <row r="1210" spans="1:9">
      <c r="A1210" s="1206"/>
      <c r="B1210" s="606"/>
      <c r="C1210" s="1046"/>
      <c r="D1210" s="1048"/>
      <c r="E1210" s="1068"/>
      <c r="F1210" s="1044"/>
      <c r="G1210" s="1077">
        <f t="shared" si="18"/>
        <v>0</v>
      </c>
      <c r="H1210" s="1042" t="str">
        <f>IF(C1210="","",VLOOKUP(C1210,Compte!$A$3:$B$346,2,0))</f>
        <v/>
      </c>
      <c r="I1210" s="1043" t="str">
        <f>IF(D1210="","",VLOOKUP(D1210,Compte!$A$3:$B$346,2,0))</f>
        <v/>
      </c>
    </row>
    <row r="1211" spans="1:9">
      <c r="A1211" s="1206"/>
      <c r="B1211" s="606"/>
      <c r="C1211" s="1046"/>
      <c r="D1211" s="1048"/>
      <c r="E1211" s="1068"/>
      <c r="F1211" s="1044"/>
      <c r="G1211" s="1077">
        <f t="shared" si="18"/>
        <v>0</v>
      </c>
      <c r="H1211" s="1042" t="str">
        <f>IF(C1211="","",VLOOKUP(C1211,Compte!$A$3:$B$346,2,0))</f>
        <v/>
      </c>
      <c r="I1211" s="1043" t="str">
        <f>IF(D1211="","",VLOOKUP(D1211,Compte!$A$3:$B$346,2,0))</f>
        <v/>
      </c>
    </row>
    <row r="1212" spans="1:9">
      <c r="A1212" s="1206"/>
      <c r="B1212" s="606"/>
      <c r="C1212" s="1046"/>
      <c r="D1212" s="1048"/>
      <c r="E1212" s="1068"/>
      <c r="F1212" s="1044"/>
      <c r="G1212" s="1077">
        <f t="shared" si="18"/>
        <v>0</v>
      </c>
      <c r="H1212" s="1042" t="str">
        <f>IF(C1212="","",VLOOKUP(C1212,Compte!$A$3:$B$346,2,0))</f>
        <v/>
      </c>
      <c r="I1212" s="1043" t="str">
        <f>IF(D1212="","",VLOOKUP(D1212,Compte!$A$3:$B$346,2,0))</f>
        <v/>
      </c>
    </row>
    <row r="1213" spans="1:9">
      <c r="A1213" s="1206"/>
      <c r="B1213" s="606"/>
      <c r="C1213" s="1046"/>
      <c r="D1213" s="1048"/>
      <c r="E1213" s="1068"/>
      <c r="F1213" s="1044"/>
      <c r="G1213" s="1077">
        <f t="shared" si="18"/>
        <v>0</v>
      </c>
      <c r="H1213" s="1042" t="str">
        <f>IF(C1213="","",VLOOKUP(C1213,Compte!$A$3:$B$346,2,0))</f>
        <v/>
      </c>
      <c r="I1213" s="1043" t="str">
        <f>IF(D1213="","",VLOOKUP(D1213,Compte!$A$3:$B$346,2,0))</f>
        <v/>
      </c>
    </row>
    <row r="1214" spans="1:9">
      <c r="A1214" s="1206"/>
      <c r="B1214" s="606"/>
      <c r="C1214" s="1046"/>
      <c r="D1214" s="1048"/>
      <c r="E1214" s="1068"/>
      <c r="F1214" s="1044"/>
      <c r="G1214" s="1077">
        <f t="shared" si="18"/>
        <v>0</v>
      </c>
      <c r="H1214" s="1042" t="str">
        <f>IF(C1214="","",VLOOKUP(C1214,Compte!$A$3:$B$346,2,0))</f>
        <v/>
      </c>
      <c r="I1214" s="1043" t="str">
        <f>IF(D1214="","",VLOOKUP(D1214,Compte!$A$3:$B$346,2,0))</f>
        <v/>
      </c>
    </row>
    <row r="1215" spans="1:9">
      <c r="A1215" s="1206"/>
      <c r="B1215" s="606"/>
      <c r="C1215" s="1046"/>
      <c r="D1215" s="1048"/>
      <c r="E1215" s="1068"/>
      <c r="F1215" s="1044"/>
      <c r="G1215" s="1077">
        <f t="shared" si="18"/>
        <v>0</v>
      </c>
      <c r="H1215" s="1042" t="str">
        <f>IF(C1215="","",VLOOKUP(C1215,Compte!$A$3:$B$346,2,0))</f>
        <v/>
      </c>
      <c r="I1215" s="1043" t="str">
        <f>IF(D1215="","",VLOOKUP(D1215,Compte!$A$3:$B$346,2,0))</f>
        <v/>
      </c>
    </row>
    <row r="1216" spans="1:9">
      <c r="A1216" s="1206"/>
      <c r="B1216" s="606"/>
      <c r="C1216" s="1046"/>
      <c r="D1216" s="1048"/>
      <c r="E1216" s="1068"/>
      <c r="F1216" s="1044"/>
      <c r="G1216" s="1077">
        <f t="shared" si="18"/>
        <v>0</v>
      </c>
      <c r="H1216" s="1042" t="str">
        <f>IF(C1216="","",VLOOKUP(C1216,Compte!$A$3:$B$346,2,0))</f>
        <v/>
      </c>
      <c r="I1216" s="1043" t="str">
        <f>IF(D1216="","",VLOOKUP(D1216,Compte!$A$3:$B$346,2,0))</f>
        <v/>
      </c>
    </row>
    <row r="1217" spans="1:9">
      <c r="A1217" s="1206"/>
      <c r="B1217" s="606"/>
      <c r="C1217" s="1046"/>
      <c r="D1217" s="1048"/>
      <c r="E1217" s="1068"/>
      <c r="F1217" s="1044"/>
      <c r="G1217" s="1077">
        <f t="shared" si="18"/>
        <v>0</v>
      </c>
      <c r="H1217" s="1042" t="str">
        <f>IF(C1217="","",VLOOKUP(C1217,Compte!$A$3:$B$346,2,0))</f>
        <v/>
      </c>
      <c r="I1217" s="1043" t="str">
        <f>IF(D1217="","",VLOOKUP(D1217,Compte!$A$3:$B$346,2,0))</f>
        <v/>
      </c>
    </row>
    <row r="1218" spans="1:9">
      <c r="A1218" s="1206"/>
      <c r="B1218" s="606"/>
      <c r="C1218" s="1046"/>
      <c r="D1218" s="1048"/>
      <c r="E1218" s="1068"/>
      <c r="F1218" s="1044"/>
      <c r="G1218" s="1077">
        <f t="shared" si="18"/>
        <v>0</v>
      </c>
      <c r="H1218" s="1042" t="str">
        <f>IF(C1218="","",VLOOKUP(C1218,Compte!$A$3:$B$346,2,0))</f>
        <v/>
      </c>
      <c r="I1218" s="1043" t="str">
        <f>IF(D1218="","",VLOOKUP(D1218,Compte!$A$3:$B$346,2,0))</f>
        <v/>
      </c>
    </row>
    <row r="1219" spans="1:9">
      <c r="A1219" s="1206"/>
      <c r="B1219" s="606"/>
      <c r="C1219" s="1046"/>
      <c r="D1219" s="1048"/>
      <c r="E1219" s="1068"/>
      <c r="F1219" s="1044"/>
      <c r="G1219" s="1077">
        <f t="shared" si="18"/>
        <v>0</v>
      </c>
      <c r="H1219" s="1042" t="str">
        <f>IF(C1219="","",VLOOKUP(C1219,Compte!$A$3:$B$346,2,0))</f>
        <v/>
      </c>
      <c r="I1219" s="1043" t="str">
        <f>IF(D1219="","",VLOOKUP(D1219,Compte!$A$3:$B$346,2,0))</f>
        <v/>
      </c>
    </row>
    <row r="1220" spans="1:9">
      <c r="A1220" s="1206"/>
      <c r="B1220" s="606"/>
      <c r="C1220" s="1046"/>
      <c r="D1220" s="1048"/>
      <c r="E1220" s="1068"/>
      <c r="F1220" s="1044"/>
      <c r="G1220" s="1077">
        <f t="shared" si="18"/>
        <v>0</v>
      </c>
      <c r="H1220" s="1042" t="str">
        <f>IF(C1220="","",VLOOKUP(C1220,Compte!$A$3:$B$346,2,0))</f>
        <v/>
      </c>
      <c r="I1220" s="1043" t="str">
        <f>IF(D1220="","",VLOOKUP(D1220,Compte!$A$3:$B$346,2,0))</f>
        <v/>
      </c>
    </row>
    <row r="1221" spans="1:9">
      <c r="A1221" s="1206"/>
      <c r="B1221" s="606"/>
      <c r="C1221" s="1046"/>
      <c r="D1221" s="1048"/>
      <c r="E1221" s="1068"/>
      <c r="F1221" s="1044"/>
      <c r="G1221" s="1077">
        <f t="shared" si="18"/>
        <v>0</v>
      </c>
      <c r="H1221" s="1042" t="str">
        <f>IF(C1221="","",VLOOKUP(C1221,Compte!$A$3:$B$346,2,0))</f>
        <v/>
      </c>
      <c r="I1221" s="1043" t="str">
        <f>IF(D1221="","",VLOOKUP(D1221,Compte!$A$3:$B$346,2,0))</f>
        <v/>
      </c>
    </row>
    <row r="1222" spans="1:9">
      <c r="A1222" s="1206"/>
      <c r="B1222" s="606"/>
      <c r="C1222" s="1046"/>
      <c r="D1222" s="1048"/>
      <c r="E1222" s="1068"/>
      <c r="F1222" s="1044"/>
      <c r="G1222" s="1077">
        <f t="shared" si="18"/>
        <v>0</v>
      </c>
      <c r="H1222" s="1042" t="str">
        <f>IF(C1222="","",VLOOKUP(C1222,Compte!$A$3:$B$346,2,0))</f>
        <v/>
      </c>
      <c r="I1222" s="1043" t="str">
        <f>IF(D1222="","",VLOOKUP(D1222,Compte!$A$3:$B$346,2,0))</f>
        <v/>
      </c>
    </row>
    <row r="1223" spans="1:9">
      <c r="A1223" s="1206"/>
      <c r="B1223" s="606"/>
      <c r="C1223" s="1046"/>
      <c r="D1223" s="1048"/>
      <c r="E1223" s="1068"/>
      <c r="F1223" s="1044"/>
      <c r="G1223" s="1077">
        <f t="shared" si="18"/>
        <v>0</v>
      </c>
      <c r="H1223" s="1042" t="str">
        <f>IF(C1223="","",VLOOKUP(C1223,Compte!$A$3:$B$346,2,0))</f>
        <v/>
      </c>
      <c r="I1223" s="1043" t="str">
        <f>IF(D1223="","",VLOOKUP(D1223,Compte!$A$3:$B$346,2,0))</f>
        <v/>
      </c>
    </row>
    <row r="1224" spans="1:9">
      <c r="A1224" s="1206"/>
      <c r="B1224" s="606"/>
      <c r="C1224" s="1046"/>
      <c r="D1224" s="1048"/>
      <c r="E1224" s="1068"/>
      <c r="F1224" s="1044"/>
      <c r="G1224" s="1077">
        <f t="shared" ref="G1224:G1287" si="19">IF(C1224="",F1224,E1224)</f>
        <v>0</v>
      </c>
      <c r="H1224" s="1042" t="str">
        <f>IF(C1224="","",VLOOKUP(C1224,Compte!$A$3:$B$346,2,0))</f>
        <v/>
      </c>
      <c r="I1224" s="1043" t="str">
        <f>IF(D1224="","",VLOOKUP(D1224,Compte!$A$3:$B$346,2,0))</f>
        <v/>
      </c>
    </row>
    <row r="1225" spans="1:9">
      <c r="A1225" s="1206"/>
      <c r="B1225" s="606"/>
      <c r="C1225" s="1046"/>
      <c r="D1225" s="1048"/>
      <c r="E1225" s="1068"/>
      <c r="F1225" s="1044"/>
      <c r="G1225" s="1077">
        <f t="shared" si="19"/>
        <v>0</v>
      </c>
      <c r="H1225" s="1042" t="str">
        <f>IF(C1225="","",VLOOKUP(C1225,Compte!$A$3:$B$346,2,0))</f>
        <v/>
      </c>
      <c r="I1225" s="1043" t="str">
        <f>IF(D1225="","",VLOOKUP(D1225,Compte!$A$3:$B$346,2,0))</f>
        <v/>
      </c>
    </row>
    <row r="1226" spans="1:9">
      <c r="A1226" s="1206"/>
      <c r="B1226" s="606"/>
      <c r="C1226" s="1046"/>
      <c r="D1226" s="1048"/>
      <c r="E1226" s="1068"/>
      <c r="F1226" s="1044"/>
      <c r="G1226" s="1077">
        <f t="shared" si="19"/>
        <v>0</v>
      </c>
      <c r="H1226" s="1042" t="str">
        <f>IF(C1226="","",VLOOKUP(C1226,Compte!$A$3:$B$346,2,0))</f>
        <v/>
      </c>
      <c r="I1226" s="1043" t="str">
        <f>IF(D1226="","",VLOOKUP(D1226,Compte!$A$3:$B$346,2,0))</f>
        <v/>
      </c>
    </row>
    <row r="1227" spans="1:9">
      <c r="A1227" s="1206"/>
      <c r="B1227" s="606"/>
      <c r="C1227" s="1046"/>
      <c r="D1227" s="1048"/>
      <c r="E1227" s="1068"/>
      <c r="F1227" s="1044"/>
      <c r="G1227" s="1077">
        <f t="shared" si="19"/>
        <v>0</v>
      </c>
      <c r="H1227" s="1042" t="str">
        <f>IF(C1227="","",VLOOKUP(C1227,Compte!$A$3:$B$346,2,0))</f>
        <v/>
      </c>
      <c r="I1227" s="1043" t="str">
        <f>IF(D1227="","",VLOOKUP(D1227,Compte!$A$3:$B$346,2,0))</f>
        <v/>
      </c>
    </row>
    <row r="1228" spans="1:9">
      <c r="A1228" s="1206"/>
      <c r="B1228" s="606"/>
      <c r="C1228" s="1046"/>
      <c r="D1228" s="1048"/>
      <c r="E1228" s="1068"/>
      <c r="F1228" s="1044"/>
      <c r="G1228" s="1077">
        <f t="shared" si="19"/>
        <v>0</v>
      </c>
      <c r="H1228" s="1042" t="str">
        <f>IF(C1228="","",VLOOKUP(C1228,Compte!$A$3:$B$346,2,0))</f>
        <v/>
      </c>
      <c r="I1228" s="1043" t="str">
        <f>IF(D1228="","",VLOOKUP(D1228,Compte!$A$3:$B$346,2,0))</f>
        <v/>
      </c>
    </row>
    <row r="1229" spans="1:9">
      <c r="A1229" s="1206"/>
      <c r="B1229" s="606"/>
      <c r="C1229" s="1046"/>
      <c r="D1229" s="1048"/>
      <c r="E1229" s="1068"/>
      <c r="F1229" s="1044"/>
      <c r="G1229" s="1077">
        <f t="shared" si="19"/>
        <v>0</v>
      </c>
      <c r="H1229" s="1042" t="str">
        <f>IF(C1229="","",VLOOKUP(C1229,Compte!$A$3:$B$346,2,0))</f>
        <v/>
      </c>
      <c r="I1229" s="1043" t="str">
        <f>IF(D1229="","",VLOOKUP(D1229,Compte!$A$3:$B$346,2,0))</f>
        <v/>
      </c>
    </row>
    <row r="1230" spans="1:9">
      <c r="A1230" s="1206"/>
      <c r="B1230" s="606"/>
      <c r="C1230" s="1046"/>
      <c r="D1230" s="1048"/>
      <c r="E1230" s="1068"/>
      <c r="F1230" s="1044"/>
      <c r="G1230" s="1077">
        <f t="shared" si="19"/>
        <v>0</v>
      </c>
      <c r="H1230" s="1042" t="str">
        <f>IF(C1230="","",VLOOKUP(C1230,Compte!$A$3:$B$346,2,0))</f>
        <v/>
      </c>
      <c r="I1230" s="1043" t="str">
        <f>IF(D1230="","",VLOOKUP(D1230,Compte!$A$3:$B$346,2,0))</f>
        <v/>
      </c>
    </row>
    <row r="1231" spans="1:9">
      <c r="A1231" s="1206"/>
      <c r="B1231" s="606"/>
      <c r="C1231" s="1046"/>
      <c r="D1231" s="1048"/>
      <c r="E1231" s="1068"/>
      <c r="F1231" s="1044"/>
      <c r="G1231" s="1077">
        <f t="shared" si="19"/>
        <v>0</v>
      </c>
      <c r="H1231" s="1042" t="str">
        <f>IF(C1231="","",VLOOKUP(C1231,Compte!$A$3:$B$346,2,0))</f>
        <v/>
      </c>
      <c r="I1231" s="1043" t="str">
        <f>IF(D1231="","",VLOOKUP(D1231,Compte!$A$3:$B$346,2,0))</f>
        <v/>
      </c>
    </row>
    <row r="1232" spans="1:9">
      <c r="A1232" s="1206"/>
      <c r="B1232" s="606"/>
      <c r="C1232" s="1046"/>
      <c r="D1232" s="1048"/>
      <c r="E1232" s="1068"/>
      <c r="F1232" s="1044"/>
      <c r="G1232" s="1077">
        <f t="shared" si="19"/>
        <v>0</v>
      </c>
      <c r="H1232" s="1042" t="str">
        <f>IF(C1232="","",VLOOKUP(C1232,Compte!$A$3:$B$346,2,0))</f>
        <v/>
      </c>
      <c r="I1232" s="1043" t="str">
        <f>IF(D1232="","",VLOOKUP(D1232,Compte!$A$3:$B$346,2,0))</f>
        <v/>
      </c>
    </row>
    <row r="1233" spans="1:9">
      <c r="A1233" s="1206"/>
      <c r="B1233" s="606"/>
      <c r="C1233" s="1046"/>
      <c r="D1233" s="1048"/>
      <c r="E1233" s="1068"/>
      <c r="F1233" s="1044"/>
      <c r="G1233" s="1077">
        <f t="shared" si="19"/>
        <v>0</v>
      </c>
      <c r="H1233" s="1042" t="str">
        <f>IF(C1233="","",VLOOKUP(C1233,Compte!$A$3:$B$346,2,0))</f>
        <v/>
      </c>
      <c r="I1233" s="1043" t="str">
        <f>IF(D1233="","",VLOOKUP(D1233,Compte!$A$3:$B$346,2,0))</f>
        <v/>
      </c>
    </row>
    <row r="1234" spans="1:9">
      <c r="A1234" s="1206"/>
      <c r="B1234" s="606"/>
      <c r="C1234" s="1046"/>
      <c r="D1234" s="1048"/>
      <c r="E1234" s="1068"/>
      <c r="F1234" s="1044"/>
      <c r="G1234" s="1077">
        <f t="shared" si="19"/>
        <v>0</v>
      </c>
      <c r="H1234" s="1042" t="str">
        <f>IF(C1234="","",VLOOKUP(C1234,Compte!$A$3:$B$346,2,0))</f>
        <v/>
      </c>
      <c r="I1234" s="1043" t="str">
        <f>IF(D1234="","",VLOOKUP(D1234,Compte!$A$3:$B$346,2,0))</f>
        <v/>
      </c>
    </row>
    <row r="1235" spans="1:9">
      <c r="A1235" s="1206"/>
      <c r="B1235" s="606"/>
      <c r="C1235" s="1046"/>
      <c r="D1235" s="1048"/>
      <c r="E1235" s="1068"/>
      <c r="F1235" s="1044"/>
      <c r="G1235" s="1077">
        <f t="shared" si="19"/>
        <v>0</v>
      </c>
      <c r="H1235" s="1042" t="str">
        <f>IF(C1235="","",VLOOKUP(C1235,Compte!$A$3:$B$346,2,0))</f>
        <v/>
      </c>
      <c r="I1235" s="1043" t="str">
        <f>IF(D1235="","",VLOOKUP(D1235,Compte!$A$3:$B$346,2,0))</f>
        <v/>
      </c>
    </row>
    <row r="1236" spans="1:9">
      <c r="A1236" s="1206"/>
      <c r="B1236" s="606"/>
      <c r="C1236" s="1046"/>
      <c r="D1236" s="1048"/>
      <c r="E1236" s="1068"/>
      <c r="F1236" s="1044"/>
      <c r="G1236" s="1077">
        <f t="shared" si="19"/>
        <v>0</v>
      </c>
      <c r="H1236" s="1042" t="str">
        <f>IF(C1236="","",VLOOKUP(C1236,Compte!$A$3:$B$346,2,0))</f>
        <v/>
      </c>
      <c r="I1236" s="1043" t="str">
        <f>IF(D1236="","",VLOOKUP(D1236,Compte!$A$3:$B$346,2,0))</f>
        <v/>
      </c>
    </row>
    <row r="1237" spans="1:9">
      <c r="A1237" s="1206"/>
      <c r="B1237" s="606"/>
      <c r="C1237" s="1046"/>
      <c r="D1237" s="1048"/>
      <c r="E1237" s="1068"/>
      <c r="F1237" s="1044"/>
      <c r="G1237" s="1077">
        <f t="shared" si="19"/>
        <v>0</v>
      </c>
      <c r="H1237" s="1042" t="str">
        <f>IF(C1237="","",VLOOKUP(C1237,Compte!$A$3:$B$346,2,0))</f>
        <v/>
      </c>
      <c r="I1237" s="1043" t="str">
        <f>IF(D1237="","",VLOOKUP(D1237,Compte!$A$3:$B$346,2,0))</f>
        <v/>
      </c>
    </row>
    <row r="1238" spans="1:9">
      <c r="A1238" s="1206"/>
      <c r="B1238" s="606"/>
      <c r="C1238" s="1046"/>
      <c r="D1238" s="1048"/>
      <c r="E1238" s="1068"/>
      <c r="F1238" s="1044"/>
      <c r="G1238" s="1077">
        <f t="shared" si="19"/>
        <v>0</v>
      </c>
      <c r="H1238" s="1042" t="str">
        <f>IF(C1238="","",VLOOKUP(C1238,Compte!$A$3:$B$346,2,0))</f>
        <v/>
      </c>
      <c r="I1238" s="1043" t="str">
        <f>IF(D1238="","",VLOOKUP(D1238,Compte!$A$3:$B$346,2,0))</f>
        <v/>
      </c>
    </row>
    <row r="1239" spans="1:9">
      <c r="A1239" s="1206"/>
      <c r="B1239" s="606"/>
      <c r="C1239" s="1046"/>
      <c r="D1239" s="1048"/>
      <c r="E1239" s="1068"/>
      <c r="F1239" s="1044"/>
      <c r="G1239" s="1077">
        <f t="shared" si="19"/>
        <v>0</v>
      </c>
      <c r="H1239" s="1042" t="str">
        <f>IF(C1239="","",VLOOKUP(C1239,Compte!$A$3:$B$346,2,0))</f>
        <v/>
      </c>
      <c r="I1239" s="1043" t="str">
        <f>IF(D1239="","",VLOOKUP(D1239,Compte!$A$3:$B$346,2,0))</f>
        <v/>
      </c>
    </row>
    <row r="1240" spans="1:9">
      <c r="A1240" s="1206"/>
      <c r="B1240" s="606"/>
      <c r="C1240" s="1046"/>
      <c r="D1240" s="1048"/>
      <c r="E1240" s="1068"/>
      <c r="F1240" s="1044"/>
      <c r="G1240" s="1077">
        <f t="shared" si="19"/>
        <v>0</v>
      </c>
      <c r="H1240" s="1042" t="str">
        <f>IF(C1240="","",VLOOKUP(C1240,Compte!$A$3:$B$346,2,0))</f>
        <v/>
      </c>
      <c r="I1240" s="1043" t="str">
        <f>IF(D1240="","",VLOOKUP(D1240,Compte!$A$3:$B$346,2,0))</f>
        <v/>
      </c>
    </row>
    <row r="1241" spans="1:9">
      <c r="A1241" s="1206"/>
      <c r="B1241" s="606"/>
      <c r="C1241" s="1046"/>
      <c r="D1241" s="1048"/>
      <c r="E1241" s="1068"/>
      <c r="F1241" s="1044"/>
      <c r="G1241" s="1077">
        <f t="shared" si="19"/>
        <v>0</v>
      </c>
      <c r="H1241" s="1042" t="str">
        <f>IF(C1241="","",VLOOKUP(C1241,Compte!$A$3:$B$346,2,0))</f>
        <v/>
      </c>
      <c r="I1241" s="1043" t="str">
        <f>IF(D1241="","",VLOOKUP(D1241,Compte!$A$3:$B$346,2,0))</f>
        <v/>
      </c>
    </row>
    <row r="1242" spans="1:9">
      <c r="A1242" s="1206"/>
      <c r="B1242" s="606"/>
      <c r="C1242" s="1046"/>
      <c r="D1242" s="1048"/>
      <c r="E1242" s="1068"/>
      <c r="F1242" s="1044"/>
      <c r="G1242" s="1077">
        <f t="shared" si="19"/>
        <v>0</v>
      </c>
      <c r="H1242" s="1042" t="str">
        <f>IF(C1242="","",VLOOKUP(C1242,Compte!$A$3:$B$346,2,0))</f>
        <v/>
      </c>
      <c r="I1242" s="1043" t="str">
        <f>IF(D1242="","",VLOOKUP(D1242,Compte!$A$3:$B$346,2,0))</f>
        <v/>
      </c>
    </row>
    <row r="1243" spans="1:9">
      <c r="A1243" s="1206"/>
      <c r="B1243" s="606"/>
      <c r="C1243" s="1046"/>
      <c r="D1243" s="1048"/>
      <c r="E1243" s="1068"/>
      <c r="F1243" s="1044"/>
      <c r="G1243" s="1077">
        <f t="shared" si="19"/>
        <v>0</v>
      </c>
      <c r="H1243" s="1042" t="str">
        <f>IF(C1243="","",VLOOKUP(C1243,Compte!$A$3:$B$346,2,0))</f>
        <v/>
      </c>
      <c r="I1243" s="1043" t="str">
        <f>IF(D1243="","",VLOOKUP(D1243,Compte!$A$3:$B$346,2,0))</f>
        <v/>
      </c>
    </row>
    <row r="1244" spans="1:9">
      <c r="A1244" s="1206"/>
      <c r="B1244" s="606"/>
      <c r="C1244" s="1046"/>
      <c r="D1244" s="1048"/>
      <c r="E1244" s="1068"/>
      <c r="F1244" s="1044"/>
      <c r="G1244" s="1077">
        <f t="shared" si="19"/>
        <v>0</v>
      </c>
      <c r="H1244" s="1042" t="str">
        <f>IF(C1244="","",VLOOKUP(C1244,Compte!$A$3:$B$346,2,0))</f>
        <v/>
      </c>
      <c r="I1244" s="1043" t="str">
        <f>IF(D1244="","",VLOOKUP(D1244,Compte!$A$3:$B$346,2,0))</f>
        <v/>
      </c>
    </row>
    <row r="1245" spans="1:9">
      <c r="A1245" s="1206"/>
      <c r="B1245" s="606"/>
      <c r="C1245" s="1046"/>
      <c r="D1245" s="1048"/>
      <c r="E1245" s="1068"/>
      <c r="F1245" s="1044"/>
      <c r="G1245" s="1077">
        <f t="shared" si="19"/>
        <v>0</v>
      </c>
      <c r="H1245" s="1042" t="str">
        <f>IF(C1245="","",VLOOKUP(C1245,Compte!$A$3:$B$346,2,0))</f>
        <v/>
      </c>
      <c r="I1245" s="1043" t="str">
        <f>IF(D1245="","",VLOOKUP(D1245,Compte!$A$3:$B$346,2,0))</f>
        <v/>
      </c>
    </row>
    <row r="1246" spans="1:9">
      <c r="A1246" s="1206"/>
      <c r="B1246" s="606"/>
      <c r="C1246" s="1046"/>
      <c r="D1246" s="1048"/>
      <c r="E1246" s="1068"/>
      <c r="F1246" s="1044"/>
      <c r="G1246" s="1077">
        <f t="shared" si="19"/>
        <v>0</v>
      </c>
      <c r="H1246" s="1042" t="str">
        <f>IF(C1246="","",VLOOKUP(C1246,Compte!$A$3:$B$346,2,0))</f>
        <v/>
      </c>
      <c r="I1246" s="1043" t="str">
        <f>IF(D1246="","",VLOOKUP(D1246,Compte!$A$3:$B$346,2,0))</f>
        <v/>
      </c>
    </row>
    <row r="1247" spans="1:9">
      <c r="A1247" s="1206"/>
      <c r="B1247" s="606"/>
      <c r="C1247" s="1046"/>
      <c r="D1247" s="1048"/>
      <c r="E1247" s="1068"/>
      <c r="F1247" s="1044"/>
      <c r="G1247" s="1077">
        <f t="shared" si="19"/>
        <v>0</v>
      </c>
      <c r="H1247" s="1042" t="str">
        <f>IF(C1247="","",VLOOKUP(C1247,Compte!$A$3:$B$346,2,0))</f>
        <v/>
      </c>
      <c r="I1247" s="1043" t="str">
        <f>IF(D1247="","",VLOOKUP(D1247,Compte!$A$3:$B$346,2,0))</f>
        <v/>
      </c>
    </row>
    <row r="1248" spans="1:9">
      <c r="A1248" s="1206"/>
      <c r="B1248" s="606"/>
      <c r="C1248" s="1046"/>
      <c r="D1248" s="1048"/>
      <c r="E1248" s="1068"/>
      <c r="F1248" s="1044"/>
      <c r="G1248" s="1077">
        <f t="shared" si="19"/>
        <v>0</v>
      </c>
      <c r="H1248" s="1042" t="str">
        <f>IF(C1248="","",VLOOKUP(C1248,Compte!$A$3:$B$346,2,0))</f>
        <v/>
      </c>
      <c r="I1248" s="1043" t="str">
        <f>IF(D1248="","",VLOOKUP(D1248,Compte!$A$3:$B$346,2,0))</f>
        <v/>
      </c>
    </row>
    <row r="1249" spans="1:9">
      <c r="A1249" s="1206"/>
      <c r="B1249" s="606"/>
      <c r="C1249" s="1046"/>
      <c r="D1249" s="1048"/>
      <c r="E1249" s="1068"/>
      <c r="F1249" s="1044"/>
      <c r="G1249" s="1077">
        <f t="shared" si="19"/>
        <v>0</v>
      </c>
      <c r="H1249" s="1042" t="str">
        <f>IF(C1249="","",VLOOKUP(C1249,Compte!$A$3:$B$346,2,0))</f>
        <v/>
      </c>
      <c r="I1249" s="1043" t="str">
        <f>IF(D1249="","",VLOOKUP(D1249,Compte!$A$3:$B$346,2,0))</f>
        <v/>
      </c>
    </row>
    <row r="1250" spans="1:9">
      <c r="A1250" s="1206"/>
      <c r="B1250" s="606"/>
      <c r="C1250" s="1046"/>
      <c r="D1250" s="1048"/>
      <c r="E1250" s="1068"/>
      <c r="F1250" s="1044"/>
      <c r="G1250" s="1077">
        <f t="shared" si="19"/>
        <v>0</v>
      </c>
      <c r="H1250" s="1042" t="str">
        <f>IF(C1250="","",VLOOKUP(C1250,Compte!$A$3:$B$346,2,0))</f>
        <v/>
      </c>
      <c r="I1250" s="1043" t="str">
        <f>IF(D1250="","",VLOOKUP(D1250,Compte!$A$3:$B$346,2,0))</f>
        <v/>
      </c>
    </row>
    <row r="1251" spans="1:9">
      <c r="A1251" s="1206"/>
      <c r="B1251" s="606"/>
      <c r="C1251" s="1046"/>
      <c r="D1251" s="1048"/>
      <c r="E1251" s="1068"/>
      <c r="F1251" s="1044"/>
      <c r="G1251" s="1077">
        <f t="shared" si="19"/>
        <v>0</v>
      </c>
      <c r="H1251" s="1042" t="str">
        <f>IF(C1251="","",VLOOKUP(C1251,Compte!$A$3:$B$346,2,0))</f>
        <v/>
      </c>
      <c r="I1251" s="1043" t="str">
        <f>IF(D1251="","",VLOOKUP(D1251,Compte!$A$3:$B$346,2,0))</f>
        <v/>
      </c>
    </row>
    <row r="1252" spans="1:9">
      <c r="A1252" s="1206"/>
      <c r="B1252" s="606"/>
      <c r="C1252" s="1046"/>
      <c r="D1252" s="1048"/>
      <c r="E1252" s="1068"/>
      <c r="F1252" s="1044"/>
      <c r="G1252" s="1077">
        <f t="shared" si="19"/>
        <v>0</v>
      </c>
      <c r="H1252" s="1042" t="str">
        <f>IF(C1252="","",VLOOKUP(C1252,Compte!$A$3:$B$346,2,0))</f>
        <v/>
      </c>
      <c r="I1252" s="1043" t="str">
        <f>IF(D1252="","",VLOOKUP(D1252,Compte!$A$3:$B$346,2,0))</f>
        <v/>
      </c>
    </row>
    <row r="1253" spans="1:9">
      <c r="A1253" s="1206"/>
      <c r="B1253" s="606"/>
      <c r="C1253" s="1046"/>
      <c r="D1253" s="1048"/>
      <c r="E1253" s="1068"/>
      <c r="F1253" s="1044"/>
      <c r="G1253" s="1077">
        <f t="shared" si="19"/>
        <v>0</v>
      </c>
      <c r="H1253" s="1042" t="str">
        <f>IF(C1253="","",VLOOKUP(C1253,Compte!$A$3:$B$346,2,0))</f>
        <v/>
      </c>
      <c r="I1253" s="1043" t="str">
        <f>IF(D1253="","",VLOOKUP(D1253,Compte!$A$3:$B$346,2,0))</f>
        <v/>
      </c>
    </row>
    <row r="1254" spans="1:9">
      <c r="A1254" s="1206"/>
      <c r="B1254" s="606"/>
      <c r="C1254" s="1046"/>
      <c r="D1254" s="1048"/>
      <c r="E1254" s="1068"/>
      <c r="F1254" s="1044"/>
      <c r="G1254" s="1077">
        <f t="shared" si="19"/>
        <v>0</v>
      </c>
      <c r="H1254" s="1042" t="str">
        <f>IF(C1254="","",VLOOKUP(C1254,Compte!$A$3:$B$346,2,0))</f>
        <v/>
      </c>
      <c r="I1254" s="1043" t="str">
        <f>IF(D1254="","",VLOOKUP(D1254,Compte!$A$3:$B$346,2,0))</f>
        <v/>
      </c>
    </row>
    <row r="1255" spans="1:9">
      <c r="A1255" s="1206"/>
      <c r="B1255" s="606"/>
      <c r="C1255" s="1046"/>
      <c r="D1255" s="1048"/>
      <c r="E1255" s="1068"/>
      <c r="F1255" s="1044"/>
      <c r="G1255" s="1077">
        <f t="shared" si="19"/>
        <v>0</v>
      </c>
      <c r="H1255" s="1042" t="str">
        <f>IF(C1255="","",VLOOKUP(C1255,Compte!$A$3:$B$346,2,0))</f>
        <v/>
      </c>
      <c r="I1255" s="1043" t="str">
        <f>IF(D1255="","",VLOOKUP(D1255,Compte!$A$3:$B$346,2,0))</f>
        <v/>
      </c>
    </row>
    <row r="1256" spans="1:9">
      <c r="A1256" s="1206"/>
      <c r="B1256" s="606"/>
      <c r="C1256" s="1046"/>
      <c r="D1256" s="1048"/>
      <c r="E1256" s="1068"/>
      <c r="F1256" s="1044"/>
      <c r="G1256" s="1077">
        <f t="shared" si="19"/>
        <v>0</v>
      </c>
      <c r="H1256" s="1042" t="str">
        <f>IF(C1256="","",VLOOKUP(C1256,Compte!$A$3:$B$346,2,0))</f>
        <v/>
      </c>
      <c r="I1256" s="1043" t="str">
        <f>IF(D1256="","",VLOOKUP(D1256,Compte!$A$3:$B$346,2,0))</f>
        <v/>
      </c>
    </row>
    <row r="1257" spans="1:9">
      <c r="A1257" s="1206"/>
      <c r="B1257" s="606"/>
      <c r="C1257" s="1046"/>
      <c r="D1257" s="1048"/>
      <c r="E1257" s="1068"/>
      <c r="F1257" s="1044"/>
      <c r="G1257" s="1077">
        <f t="shared" si="19"/>
        <v>0</v>
      </c>
      <c r="H1257" s="1042" t="str">
        <f>IF(C1257="","",VLOOKUP(C1257,Compte!$A$3:$B$346,2,0))</f>
        <v/>
      </c>
      <c r="I1257" s="1043" t="str">
        <f>IF(D1257="","",VLOOKUP(D1257,Compte!$A$3:$B$346,2,0))</f>
        <v/>
      </c>
    </row>
    <row r="1258" spans="1:9">
      <c r="A1258" s="1206"/>
      <c r="B1258" s="606"/>
      <c r="C1258" s="1046"/>
      <c r="D1258" s="1048"/>
      <c r="E1258" s="1068"/>
      <c r="F1258" s="1044"/>
      <c r="G1258" s="1077">
        <f t="shared" si="19"/>
        <v>0</v>
      </c>
      <c r="H1258" s="1042" t="str">
        <f>IF(C1258="","",VLOOKUP(C1258,Compte!$A$3:$B$346,2,0))</f>
        <v/>
      </c>
      <c r="I1258" s="1043" t="str">
        <f>IF(D1258="","",VLOOKUP(D1258,Compte!$A$3:$B$346,2,0))</f>
        <v/>
      </c>
    </row>
    <row r="1259" spans="1:9">
      <c r="A1259" s="1206"/>
      <c r="B1259" s="606"/>
      <c r="C1259" s="1046"/>
      <c r="D1259" s="1048"/>
      <c r="E1259" s="1068"/>
      <c r="F1259" s="1044"/>
      <c r="G1259" s="1077">
        <f t="shared" si="19"/>
        <v>0</v>
      </c>
      <c r="H1259" s="1042" t="str">
        <f>IF(C1259="","",VLOOKUP(C1259,Compte!$A$3:$B$346,2,0))</f>
        <v/>
      </c>
      <c r="I1259" s="1043" t="str">
        <f>IF(D1259="","",VLOOKUP(D1259,Compte!$A$3:$B$346,2,0))</f>
        <v/>
      </c>
    </row>
    <row r="1260" spans="1:9">
      <c r="A1260" s="1206"/>
      <c r="B1260" s="606"/>
      <c r="C1260" s="1046"/>
      <c r="D1260" s="1048"/>
      <c r="E1260" s="1068"/>
      <c r="F1260" s="1044"/>
      <c r="G1260" s="1077">
        <f t="shared" si="19"/>
        <v>0</v>
      </c>
      <c r="H1260" s="1042" t="str">
        <f>IF(C1260="","",VLOOKUP(C1260,Compte!$A$3:$B$346,2,0))</f>
        <v/>
      </c>
      <c r="I1260" s="1043" t="str">
        <f>IF(D1260="","",VLOOKUP(D1260,Compte!$A$3:$B$346,2,0))</f>
        <v/>
      </c>
    </row>
    <row r="1261" spans="1:9">
      <c r="A1261" s="1206"/>
      <c r="B1261" s="606"/>
      <c r="C1261" s="1046"/>
      <c r="D1261" s="1048"/>
      <c r="E1261" s="1068"/>
      <c r="F1261" s="1044"/>
      <c r="G1261" s="1077">
        <f t="shared" si="19"/>
        <v>0</v>
      </c>
      <c r="H1261" s="1042" t="str">
        <f>IF(C1261="","",VLOOKUP(C1261,Compte!$A$3:$B$346,2,0))</f>
        <v/>
      </c>
      <c r="I1261" s="1043" t="str">
        <f>IF(D1261="","",VLOOKUP(D1261,Compte!$A$3:$B$346,2,0))</f>
        <v/>
      </c>
    </row>
    <row r="1262" spans="1:9">
      <c r="A1262" s="1206"/>
      <c r="B1262" s="606"/>
      <c r="C1262" s="1046"/>
      <c r="D1262" s="1048"/>
      <c r="E1262" s="1068"/>
      <c r="F1262" s="1044"/>
      <c r="G1262" s="1077">
        <f t="shared" si="19"/>
        <v>0</v>
      </c>
      <c r="H1262" s="1042" t="str">
        <f>IF(C1262="","",VLOOKUP(C1262,Compte!$A$3:$B$346,2,0))</f>
        <v/>
      </c>
      <c r="I1262" s="1043" t="str">
        <f>IF(D1262="","",VLOOKUP(D1262,Compte!$A$3:$B$346,2,0))</f>
        <v/>
      </c>
    </row>
    <row r="1263" spans="1:9">
      <c r="A1263" s="1206"/>
      <c r="B1263" s="606"/>
      <c r="C1263" s="1046"/>
      <c r="D1263" s="1048"/>
      <c r="E1263" s="1068"/>
      <c r="F1263" s="1044"/>
      <c r="G1263" s="1077">
        <f t="shared" si="19"/>
        <v>0</v>
      </c>
      <c r="H1263" s="1042" t="str">
        <f>IF(C1263="","",VLOOKUP(C1263,Compte!$A$3:$B$346,2,0))</f>
        <v/>
      </c>
      <c r="I1263" s="1043" t="str">
        <f>IF(D1263="","",VLOOKUP(D1263,Compte!$A$3:$B$346,2,0))</f>
        <v/>
      </c>
    </row>
    <row r="1264" spans="1:9">
      <c r="A1264" s="1206"/>
      <c r="B1264" s="606"/>
      <c r="C1264" s="1046"/>
      <c r="D1264" s="1048"/>
      <c r="E1264" s="1068"/>
      <c r="F1264" s="1044"/>
      <c r="G1264" s="1077">
        <f t="shared" si="19"/>
        <v>0</v>
      </c>
      <c r="H1264" s="1042" t="str">
        <f>IF(C1264="","",VLOOKUP(C1264,Compte!$A$3:$B$346,2,0))</f>
        <v/>
      </c>
      <c r="I1264" s="1043" t="str">
        <f>IF(D1264="","",VLOOKUP(D1264,Compte!$A$3:$B$346,2,0))</f>
        <v/>
      </c>
    </row>
    <row r="1265" spans="1:9">
      <c r="A1265" s="1206"/>
      <c r="B1265" s="606"/>
      <c r="C1265" s="1046"/>
      <c r="D1265" s="1048"/>
      <c r="E1265" s="1068"/>
      <c r="F1265" s="1044"/>
      <c r="G1265" s="1077">
        <f t="shared" si="19"/>
        <v>0</v>
      </c>
      <c r="H1265" s="1042" t="str">
        <f>IF(C1265="","",VLOOKUP(C1265,Compte!$A$3:$B$346,2,0))</f>
        <v/>
      </c>
      <c r="I1265" s="1043" t="str">
        <f>IF(D1265="","",VLOOKUP(D1265,Compte!$A$3:$B$346,2,0))</f>
        <v/>
      </c>
    </row>
    <row r="1266" spans="1:9">
      <c r="A1266" s="1206"/>
      <c r="B1266" s="606"/>
      <c r="C1266" s="1046"/>
      <c r="D1266" s="1048"/>
      <c r="E1266" s="1068"/>
      <c r="F1266" s="1044"/>
      <c r="G1266" s="1077">
        <f t="shared" si="19"/>
        <v>0</v>
      </c>
      <c r="H1266" s="1042" t="str">
        <f>IF(C1266="","",VLOOKUP(C1266,Compte!$A$3:$B$346,2,0))</f>
        <v/>
      </c>
      <c r="I1266" s="1043" t="str">
        <f>IF(D1266="","",VLOOKUP(D1266,Compte!$A$3:$B$346,2,0))</f>
        <v/>
      </c>
    </row>
    <row r="1267" spans="1:9">
      <c r="A1267" s="1206"/>
      <c r="B1267" s="606"/>
      <c r="C1267" s="1046"/>
      <c r="D1267" s="1048"/>
      <c r="E1267" s="1068"/>
      <c r="F1267" s="1044"/>
      <c r="G1267" s="1077">
        <f t="shared" si="19"/>
        <v>0</v>
      </c>
      <c r="H1267" s="1042" t="str">
        <f>IF(C1267="","",VLOOKUP(C1267,Compte!$A$3:$B$346,2,0))</f>
        <v/>
      </c>
      <c r="I1267" s="1043" t="str">
        <f>IF(D1267="","",VLOOKUP(D1267,Compte!$A$3:$B$346,2,0))</f>
        <v/>
      </c>
    </row>
    <row r="1268" spans="1:9">
      <c r="A1268" s="1206"/>
      <c r="B1268" s="606"/>
      <c r="C1268" s="1046"/>
      <c r="D1268" s="1048"/>
      <c r="E1268" s="1068"/>
      <c r="F1268" s="1044"/>
      <c r="G1268" s="1077">
        <f t="shared" si="19"/>
        <v>0</v>
      </c>
      <c r="H1268" s="1042" t="str">
        <f>IF(C1268="","",VLOOKUP(C1268,Compte!$A$3:$B$346,2,0))</f>
        <v/>
      </c>
      <c r="I1268" s="1043" t="str">
        <f>IF(D1268="","",VLOOKUP(D1268,Compte!$A$3:$B$346,2,0))</f>
        <v/>
      </c>
    </row>
    <row r="1269" spans="1:9">
      <c r="A1269" s="1206"/>
      <c r="B1269" s="606"/>
      <c r="C1269" s="1046"/>
      <c r="D1269" s="1048"/>
      <c r="E1269" s="1068"/>
      <c r="F1269" s="1044"/>
      <c r="G1269" s="1077">
        <f t="shared" si="19"/>
        <v>0</v>
      </c>
      <c r="H1269" s="1042" t="str">
        <f>IF(C1269="","",VLOOKUP(C1269,Compte!$A$3:$B$346,2,0))</f>
        <v/>
      </c>
      <c r="I1269" s="1043" t="str">
        <f>IF(D1269="","",VLOOKUP(D1269,Compte!$A$3:$B$346,2,0))</f>
        <v/>
      </c>
    </row>
    <row r="1270" spans="1:9">
      <c r="A1270" s="1206"/>
      <c r="B1270" s="606"/>
      <c r="C1270" s="1046"/>
      <c r="D1270" s="1048"/>
      <c r="E1270" s="1068"/>
      <c r="F1270" s="1044"/>
      <c r="G1270" s="1077">
        <f t="shared" si="19"/>
        <v>0</v>
      </c>
      <c r="H1270" s="1042" t="str">
        <f>IF(C1270="","",VLOOKUP(C1270,Compte!$A$3:$B$346,2,0))</f>
        <v/>
      </c>
      <c r="I1270" s="1043" t="str">
        <f>IF(D1270="","",VLOOKUP(D1270,Compte!$A$3:$B$346,2,0))</f>
        <v/>
      </c>
    </row>
    <row r="1271" spans="1:9">
      <c r="A1271" s="1206"/>
      <c r="B1271" s="606"/>
      <c r="C1271" s="1046"/>
      <c r="D1271" s="1048"/>
      <c r="E1271" s="1068"/>
      <c r="F1271" s="1044"/>
      <c r="G1271" s="1077">
        <f t="shared" si="19"/>
        <v>0</v>
      </c>
      <c r="H1271" s="1042" t="str">
        <f>IF(C1271="","",VLOOKUP(C1271,Compte!$A$3:$B$346,2,0))</f>
        <v/>
      </c>
      <c r="I1271" s="1043" t="str">
        <f>IF(D1271="","",VLOOKUP(D1271,Compte!$A$3:$B$346,2,0))</f>
        <v/>
      </c>
    </row>
    <row r="1272" spans="1:9">
      <c r="A1272" s="1206"/>
      <c r="B1272" s="606"/>
      <c r="C1272" s="1046"/>
      <c r="D1272" s="1048"/>
      <c r="E1272" s="1068"/>
      <c r="F1272" s="1044"/>
      <c r="G1272" s="1077">
        <f t="shared" si="19"/>
        <v>0</v>
      </c>
      <c r="H1272" s="1042" t="str">
        <f>IF(C1272="","",VLOOKUP(C1272,Compte!$A$3:$B$346,2,0))</f>
        <v/>
      </c>
      <c r="I1272" s="1043" t="str">
        <f>IF(D1272="","",VLOOKUP(D1272,Compte!$A$3:$B$346,2,0))</f>
        <v/>
      </c>
    </row>
    <row r="1273" spans="1:9">
      <c r="A1273" s="1206"/>
      <c r="B1273" s="606"/>
      <c r="C1273" s="1046"/>
      <c r="D1273" s="1048"/>
      <c r="E1273" s="1068"/>
      <c r="F1273" s="1044"/>
      <c r="G1273" s="1077">
        <f t="shared" si="19"/>
        <v>0</v>
      </c>
      <c r="H1273" s="1042" t="str">
        <f>IF(C1273="","",VLOOKUP(C1273,Compte!$A$3:$B$346,2,0))</f>
        <v/>
      </c>
      <c r="I1273" s="1043" t="str">
        <f>IF(D1273="","",VLOOKUP(D1273,Compte!$A$3:$B$346,2,0))</f>
        <v/>
      </c>
    </row>
    <row r="1274" spans="1:9">
      <c r="A1274" s="1206"/>
      <c r="B1274" s="606"/>
      <c r="C1274" s="1046"/>
      <c r="D1274" s="1048"/>
      <c r="E1274" s="1068"/>
      <c r="F1274" s="1044"/>
      <c r="G1274" s="1077">
        <f t="shared" si="19"/>
        <v>0</v>
      </c>
      <c r="H1274" s="1042" t="str">
        <f>IF(C1274="","",VLOOKUP(C1274,Compte!$A$3:$B$346,2,0))</f>
        <v/>
      </c>
      <c r="I1274" s="1043" t="str">
        <f>IF(D1274="","",VLOOKUP(D1274,Compte!$A$3:$B$346,2,0))</f>
        <v/>
      </c>
    </row>
    <row r="1275" spans="1:9">
      <c r="A1275" s="1206"/>
      <c r="B1275" s="606"/>
      <c r="C1275" s="1046"/>
      <c r="D1275" s="1048"/>
      <c r="E1275" s="1068"/>
      <c r="F1275" s="1044"/>
      <c r="G1275" s="1077">
        <f t="shared" si="19"/>
        <v>0</v>
      </c>
      <c r="H1275" s="1042" t="str">
        <f>IF(C1275="","",VLOOKUP(C1275,Compte!$A$3:$B$346,2,0))</f>
        <v/>
      </c>
      <c r="I1275" s="1043" t="str">
        <f>IF(D1275="","",VLOOKUP(D1275,Compte!$A$3:$B$346,2,0))</f>
        <v/>
      </c>
    </row>
    <row r="1276" spans="1:9">
      <c r="A1276" s="1206"/>
      <c r="B1276" s="606"/>
      <c r="C1276" s="1046"/>
      <c r="D1276" s="1048"/>
      <c r="E1276" s="1068"/>
      <c r="F1276" s="1044"/>
      <c r="G1276" s="1077">
        <f t="shared" si="19"/>
        <v>0</v>
      </c>
      <c r="H1276" s="1042" t="str">
        <f>IF(C1276="","",VLOOKUP(C1276,Compte!$A$3:$B$346,2,0))</f>
        <v/>
      </c>
      <c r="I1276" s="1043" t="str">
        <f>IF(D1276="","",VLOOKUP(D1276,Compte!$A$3:$B$346,2,0))</f>
        <v/>
      </c>
    </row>
    <row r="1277" spans="1:9">
      <c r="A1277" s="1206"/>
      <c r="B1277" s="606"/>
      <c r="C1277" s="1046"/>
      <c r="D1277" s="1048"/>
      <c r="E1277" s="1068"/>
      <c r="F1277" s="1044"/>
      <c r="G1277" s="1077">
        <f t="shared" si="19"/>
        <v>0</v>
      </c>
      <c r="H1277" s="1042" t="str">
        <f>IF(C1277="","",VLOOKUP(C1277,Compte!$A$3:$B$346,2,0))</f>
        <v/>
      </c>
      <c r="I1277" s="1043" t="str">
        <f>IF(D1277="","",VLOOKUP(D1277,Compte!$A$3:$B$346,2,0))</f>
        <v/>
      </c>
    </row>
    <row r="1278" spans="1:9">
      <c r="A1278" s="1206"/>
      <c r="B1278" s="606"/>
      <c r="C1278" s="1046"/>
      <c r="D1278" s="1048"/>
      <c r="E1278" s="1068"/>
      <c r="F1278" s="1044"/>
      <c r="G1278" s="1077">
        <f t="shared" si="19"/>
        <v>0</v>
      </c>
      <c r="H1278" s="1042" t="str">
        <f>IF(C1278="","",VLOOKUP(C1278,Compte!$A$3:$B$346,2,0))</f>
        <v/>
      </c>
      <c r="I1278" s="1043" t="str">
        <f>IF(D1278="","",VLOOKUP(D1278,Compte!$A$3:$B$346,2,0))</f>
        <v/>
      </c>
    </row>
    <row r="1279" spans="1:9">
      <c r="A1279" s="1206"/>
      <c r="B1279" s="606"/>
      <c r="C1279" s="1046"/>
      <c r="D1279" s="1048"/>
      <c r="E1279" s="1068"/>
      <c r="F1279" s="1044"/>
      <c r="G1279" s="1077">
        <f t="shared" si="19"/>
        <v>0</v>
      </c>
      <c r="H1279" s="1042" t="str">
        <f>IF(C1279="","",VLOOKUP(C1279,Compte!$A$3:$B$346,2,0))</f>
        <v/>
      </c>
      <c r="I1279" s="1043" t="str">
        <f>IF(D1279="","",VLOOKUP(D1279,Compte!$A$3:$B$346,2,0))</f>
        <v/>
      </c>
    </row>
    <row r="1280" spans="1:9">
      <c r="A1280" s="1206"/>
      <c r="B1280" s="606"/>
      <c r="C1280" s="1046"/>
      <c r="D1280" s="1048"/>
      <c r="E1280" s="1068"/>
      <c r="F1280" s="1044"/>
      <c r="G1280" s="1077">
        <f t="shared" si="19"/>
        <v>0</v>
      </c>
      <c r="H1280" s="1042" t="str">
        <f>IF(C1280="","",VLOOKUP(C1280,Compte!$A$3:$B$346,2,0))</f>
        <v/>
      </c>
      <c r="I1280" s="1043" t="str">
        <f>IF(D1280="","",VLOOKUP(D1280,Compte!$A$3:$B$346,2,0))</f>
        <v/>
      </c>
    </row>
    <row r="1281" spans="1:9">
      <c r="A1281" s="1206"/>
      <c r="B1281" s="606"/>
      <c r="C1281" s="1046"/>
      <c r="D1281" s="1048"/>
      <c r="E1281" s="1068"/>
      <c r="F1281" s="1044"/>
      <c r="G1281" s="1077">
        <f t="shared" si="19"/>
        <v>0</v>
      </c>
      <c r="H1281" s="1042" t="str">
        <f>IF(C1281="","",VLOOKUP(C1281,Compte!$A$3:$B$346,2,0))</f>
        <v/>
      </c>
      <c r="I1281" s="1043" t="str">
        <f>IF(D1281="","",VLOOKUP(D1281,Compte!$A$3:$B$346,2,0))</f>
        <v/>
      </c>
    </row>
    <row r="1282" spans="1:9">
      <c r="A1282" s="1206"/>
      <c r="B1282" s="606"/>
      <c r="C1282" s="1046"/>
      <c r="D1282" s="1048"/>
      <c r="E1282" s="1068"/>
      <c r="F1282" s="1044"/>
      <c r="G1282" s="1077">
        <f t="shared" si="19"/>
        <v>0</v>
      </c>
      <c r="H1282" s="1042" t="str">
        <f>IF(C1282="","",VLOOKUP(C1282,Compte!$A$3:$B$346,2,0))</f>
        <v/>
      </c>
      <c r="I1282" s="1043" t="str">
        <f>IF(D1282="","",VLOOKUP(D1282,Compte!$A$3:$B$346,2,0))</f>
        <v/>
      </c>
    </row>
    <row r="1283" spans="1:9">
      <c r="A1283" s="1206"/>
      <c r="B1283" s="606"/>
      <c r="C1283" s="1046"/>
      <c r="D1283" s="1048"/>
      <c r="E1283" s="1068"/>
      <c r="F1283" s="1044"/>
      <c r="G1283" s="1077">
        <f t="shared" si="19"/>
        <v>0</v>
      </c>
      <c r="H1283" s="1042" t="str">
        <f>IF(C1283="","",VLOOKUP(C1283,Compte!$A$3:$B$346,2,0))</f>
        <v/>
      </c>
      <c r="I1283" s="1043" t="str">
        <f>IF(D1283="","",VLOOKUP(D1283,Compte!$A$3:$B$346,2,0))</f>
        <v/>
      </c>
    </row>
    <row r="1284" spans="1:9">
      <c r="A1284" s="1206"/>
      <c r="B1284" s="606"/>
      <c r="C1284" s="1046"/>
      <c r="D1284" s="1048"/>
      <c r="E1284" s="1068"/>
      <c r="F1284" s="1044"/>
      <c r="G1284" s="1077">
        <f t="shared" si="19"/>
        <v>0</v>
      </c>
      <c r="H1284" s="1042" t="str">
        <f>IF(C1284="","",VLOOKUP(C1284,Compte!$A$3:$B$346,2,0))</f>
        <v/>
      </c>
      <c r="I1284" s="1043" t="str">
        <f>IF(D1284="","",VLOOKUP(D1284,Compte!$A$3:$B$346,2,0))</f>
        <v/>
      </c>
    </row>
    <row r="1285" spans="1:9">
      <c r="A1285" s="1206"/>
      <c r="B1285" s="606"/>
      <c r="C1285" s="1046"/>
      <c r="D1285" s="1048"/>
      <c r="E1285" s="1068"/>
      <c r="F1285" s="1044"/>
      <c r="G1285" s="1077">
        <f t="shared" si="19"/>
        <v>0</v>
      </c>
      <c r="H1285" s="1042" t="str">
        <f>IF(C1285="","",VLOOKUP(C1285,Compte!$A$3:$B$346,2,0))</f>
        <v/>
      </c>
      <c r="I1285" s="1043" t="str">
        <f>IF(D1285="","",VLOOKUP(D1285,Compte!$A$3:$B$346,2,0))</f>
        <v/>
      </c>
    </row>
    <row r="1286" spans="1:9">
      <c r="A1286" s="1206"/>
      <c r="B1286" s="606"/>
      <c r="C1286" s="1046"/>
      <c r="D1286" s="1048"/>
      <c r="E1286" s="1068"/>
      <c r="F1286" s="1044"/>
      <c r="G1286" s="1077">
        <f t="shared" si="19"/>
        <v>0</v>
      </c>
      <c r="H1286" s="1042" t="str">
        <f>IF(C1286="","",VLOOKUP(C1286,Compte!$A$3:$B$346,2,0))</f>
        <v/>
      </c>
      <c r="I1286" s="1043" t="str">
        <f>IF(D1286="","",VLOOKUP(D1286,Compte!$A$3:$B$346,2,0))</f>
        <v/>
      </c>
    </row>
    <row r="1287" spans="1:9">
      <c r="A1287" s="1206"/>
      <c r="B1287" s="606"/>
      <c r="C1287" s="1046"/>
      <c r="D1287" s="1048"/>
      <c r="E1287" s="1068"/>
      <c r="F1287" s="1044"/>
      <c r="G1287" s="1077">
        <f t="shared" si="19"/>
        <v>0</v>
      </c>
      <c r="H1287" s="1042" t="str">
        <f>IF(C1287="","",VLOOKUP(C1287,Compte!$A$3:$B$346,2,0))</f>
        <v/>
      </c>
      <c r="I1287" s="1043" t="str">
        <f>IF(D1287="","",VLOOKUP(D1287,Compte!$A$3:$B$346,2,0))</f>
        <v/>
      </c>
    </row>
    <row r="1288" spans="1:9">
      <c r="A1288" s="1206"/>
      <c r="B1288" s="606"/>
      <c r="C1288" s="1046"/>
      <c r="D1288" s="1048"/>
      <c r="E1288" s="1068"/>
      <c r="F1288" s="1044"/>
      <c r="G1288" s="1077">
        <f t="shared" ref="G1288:G1351" si="20">IF(C1288="",F1288,E1288)</f>
        <v>0</v>
      </c>
      <c r="H1288" s="1042" t="str">
        <f>IF(C1288="","",VLOOKUP(C1288,Compte!$A$3:$B$346,2,0))</f>
        <v/>
      </c>
      <c r="I1288" s="1043" t="str">
        <f>IF(D1288="","",VLOOKUP(D1288,Compte!$A$3:$B$346,2,0))</f>
        <v/>
      </c>
    </row>
    <row r="1289" spans="1:9">
      <c r="A1289" s="1206"/>
      <c r="B1289" s="606"/>
      <c r="C1289" s="1046"/>
      <c r="D1289" s="1048"/>
      <c r="E1289" s="1068"/>
      <c r="F1289" s="1044"/>
      <c r="G1289" s="1077">
        <f t="shared" si="20"/>
        <v>0</v>
      </c>
      <c r="H1289" s="1042" t="str">
        <f>IF(C1289="","",VLOOKUP(C1289,Compte!$A$3:$B$346,2,0))</f>
        <v/>
      </c>
      <c r="I1289" s="1043" t="str">
        <f>IF(D1289="","",VLOOKUP(D1289,Compte!$A$3:$B$346,2,0))</f>
        <v/>
      </c>
    </row>
    <row r="1290" spans="1:9">
      <c r="A1290" s="1206"/>
      <c r="B1290" s="606"/>
      <c r="C1290" s="1046"/>
      <c r="D1290" s="1048"/>
      <c r="E1290" s="1068"/>
      <c r="F1290" s="1044"/>
      <c r="G1290" s="1077">
        <f t="shared" si="20"/>
        <v>0</v>
      </c>
      <c r="H1290" s="1042" t="str">
        <f>IF(C1290="","",VLOOKUP(C1290,Compte!$A$3:$B$346,2,0))</f>
        <v/>
      </c>
      <c r="I1290" s="1043" t="str">
        <f>IF(D1290="","",VLOOKUP(D1290,Compte!$A$3:$B$346,2,0))</f>
        <v/>
      </c>
    </row>
    <row r="1291" spans="1:9">
      <c r="A1291" s="1206"/>
      <c r="B1291" s="606"/>
      <c r="C1291" s="1046"/>
      <c r="D1291" s="1048"/>
      <c r="E1291" s="1068"/>
      <c r="F1291" s="1044"/>
      <c r="G1291" s="1077">
        <f t="shared" si="20"/>
        <v>0</v>
      </c>
      <c r="H1291" s="1042" t="str">
        <f>IF(C1291="","",VLOOKUP(C1291,Compte!$A$3:$B$346,2,0))</f>
        <v/>
      </c>
      <c r="I1291" s="1043" t="str">
        <f>IF(D1291="","",VLOOKUP(D1291,Compte!$A$3:$B$346,2,0))</f>
        <v/>
      </c>
    </row>
    <row r="1292" spans="1:9">
      <c r="A1292" s="1206"/>
      <c r="B1292" s="606"/>
      <c r="C1292" s="1046"/>
      <c r="D1292" s="1048"/>
      <c r="E1292" s="1068"/>
      <c r="F1292" s="1044"/>
      <c r="G1292" s="1077">
        <f t="shared" si="20"/>
        <v>0</v>
      </c>
      <c r="H1292" s="1042" t="str">
        <f>IF(C1292="","",VLOOKUP(C1292,Compte!$A$3:$B$346,2,0))</f>
        <v/>
      </c>
      <c r="I1292" s="1043" t="str">
        <f>IF(D1292="","",VLOOKUP(D1292,Compte!$A$3:$B$346,2,0))</f>
        <v/>
      </c>
    </row>
    <row r="1293" spans="1:9">
      <c r="A1293" s="1206"/>
      <c r="B1293" s="606"/>
      <c r="C1293" s="1046"/>
      <c r="D1293" s="1048"/>
      <c r="E1293" s="1068"/>
      <c r="F1293" s="1044"/>
      <c r="G1293" s="1077">
        <f t="shared" si="20"/>
        <v>0</v>
      </c>
      <c r="H1293" s="1042" t="str">
        <f>IF(C1293="","",VLOOKUP(C1293,Compte!$A$3:$B$346,2,0))</f>
        <v/>
      </c>
      <c r="I1293" s="1043" t="str">
        <f>IF(D1293="","",VLOOKUP(D1293,Compte!$A$3:$B$346,2,0))</f>
        <v/>
      </c>
    </row>
    <row r="1294" spans="1:9">
      <c r="A1294" s="1206"/>
      <c r="B1294" s="606"/>
      <c r="C1294" s="1046"/>
      <c r="D1294" s="1048"/>
      <c r="E1294" s="1068"/>
      <c r="F1294" s="1044"/>
      <c r="G1294" s="1077">
        <f t="shared" si="20"/>
        <v>0</v>
      </c>
      <c r="H1294" s="1042" t="str">
        <f>IF(C1294="","",VLOOKUP(C1294,Compte!$A$3:$B$346,2,0))</f>
        <v/>
      </c>
      <c r="I1294" s="1043" t="str">
        <f>IF(D1294="","",VLOOKUP(D1294,Compte!$A$3:$B$346,2,0))</f>
        <v/>
      </c>
    </row>
    <row r="1295" spans="1:9">
      <c r="A1295" s="1206"/>
      <c r="B1295" s="606"/>
      <c r="C1295" s="1046"/>
      <c r="D1295" s="1048"/>
      <c r="E1295" s="1068"/>
      <c r="F1295" s="1044"/>
      <c r="G1295" s="1077">
        <f t="shared" si="20"/>
        <v>0</v>
      </c>
      <c r="H1295" s="1042" t="str">
        <f>IF(C1295="","",VLOOKUP(C1295,Compte!$A$3:$B$346,2,0))</f>
        <v/>
      </c>
      <c r="I1295" s="1043" t="str">
        <f>IF(D1295="","",VLOOKUP(D1295,Compte!$A$3:$B$346,2,0))</f>
        <v/>
      </c>
    </row>
    <row r="1296" spans="1:9">
      <c r="A1296" s="1206"/>
      <c r="B1296" s="606"/>
      <c r="C1296" s="1046"/>
      <c r="D1296" s="1048"/>
      <c r="E1296" s="1068"/>
      <c r="F1296" s="1044"/>
      <c r="G1296" s="1077">
        <f t="shared" si="20"/>
        <v>0</v>
      </c>
      <c r="H1296" s="1042" t="str">
        <f>IF(C1296="","",VLOOKUP(C1296,Compte!$A$3:$B$346,2,0))</f>
        <v/>
      </c>
      <c r="I1296" s="1043" t="str">
        <f>IF(D1296="","",VLOOKUP(D1296,Compte!$A$3:$B$346,2,0))</f>
        <v/>
      </c>
    </row>
    <row r="1297" spans="1:9">
      <c r="A1297" s="1206"/>
      <c r="B1297" s="606"/>
      <c r="C1297" s="1046"/>
      <c r="D1297" s="1048"/>
      <c r="E1297" s="1068"/>
      <c r="F1297" s="1044"/>
      <c r="G1297" s="1077">
        <f t="shared" si="20"/>
        <v>0</v>
      </c>
      <c r="H1297" s="1042" t="str">
        <f>IF(C1297="","",VLOOKUP(C1297,Compte!$A$3:$B$346,2,0))</f>
        <v/>
      </c>
      <c r="I1297" s="1043" t="str">
        <f>IF(D1297="","",VLOOKUP(D1297,Compte!$A$3:$B$346,2,0))</f>
        <v/>
      </c>
    </row>
    <row r="1298" spans="1:9">
      <c r="A1298" s="1206"/>
      <c r="B1298" s="606"/>
      <c r="C1298" s="1046"/>
      <c r="D1298" s="1048"/>
      <c r="E1298" s="1068"/>
      <c r="F1298" s="1044"/>
      <c r="G1298" s="1077">
        <f t="shared" si="20"/>
        <v>0</v>
      </c>
      <c r="H1298" s="1042" t="str">
        <f>IF(C1298="","",VLOOKUP(C1298,Compte!$A$3:$B$346,2,0))</f>
        <v/>
      </c>
      <c r="I1298" s="1043" t="str">
        <f>IF(D1298="","",VLOOKUP(D1298,Compte!$A$3:$B$346,2,0))</f>
        <v/>
      </c>
    </row>
    <row r="1299" spans="1:9">
      <c r="A1299" s="1206"/>
      <c r="B1299" s="606"/>
      <c r="C1299" s="1046"/>
      <c r="D1299" s="1048"/>
      <c r="E1299" s="1068"/>
      <c r="F1299" s="1044"/>
      <c r="G1299" s="1077">
        <f t="shared" si="20"/>
        <v>0</v>
      </c>
      <c r="H1299" s="1042" t="str">
        <f>IF(C1299="","",VLOOKUP(C1299,Compte!$A$3:$B$346,2,0))</f>
        <v/>
      </c>
      <c r="I1299" s="1043" t="str">
        <f>IF(D1299="","",VLOOKUP(D1299,Compte!$A$3:$B$346,2,0))</f>
        <v/>
      </c>
    </row>
    <row r="1300" spans="1:9">
      <c r="A1300" s="1206"/>
      <c r="B1300" s="606"/>
      <c r="C1300" s="1046"/>
      <c r="D1300" s="1048"/>
      <c r="E1300" s="1068"/>
      <c r="F1300" s="1044"/>
      <c r="G1300" s="1077">
        <f t="shared" si="20"/>
        <v>0</v>
      </c>
      <c r="H1300" s="1042" t="str">
        <f>IF(C1300="","",VLOOKUP(C1300,Compte!$A$3:$B$346,2,0))</f>
        <v/>
      </c>
      <c r="I1300" s="1043" t="str">
        <f>IF(D1300="","",VLOOKUP(D1300,Compte!$A$3:$B$346,2,0))</f>
        <v/>
      </c>
    </row>
    <row r="1301" spans="1:9">
      <c r="A1301" s="1206"/>
      <c r="B1301" s="606"/>
      <c r="C1301" s="1046"/>
      <c r="D1301" s="1048"/>
      <c r="E1301" s="1068"/>
      <c r="F1301" s="1044"/>
      <c r="G1301" s="1077">
        <f t="shared" si="20"/>
        <v>0</v>
      </c>
      <c r="H1301" s="1042" t="str">
        <f>IF(C1301="","",VLOOKUP(C1301,Compte!$A$3:$B$346,2,0))</f>
        <v/>
      </c>
      <c r="I1301" s="1043" t="str">
        <f>IF(D1301="","",VLOOKUP(D1301,Compte!$A$3:$B$346,2,0))</f>
        <v/>
      </c>
    </row>
    <row r="1302" spans="1:9">
      <c r="A1302" s="1206"/>
      <c r="B1302" s="606"/>
      <c r="C1302" s="1046"/>
      <c r="D1302" s="1048"/>
      <c r="E1302" s="1068"/>
      <c r="F1302" s="1044"/>
      <c r="G1302" s="1077">
        <f t="shared" si="20"/>
        <v>0</v>
      </c>
      <c r="H1302" s="1042" t="str">
        <f>IF(C1302="","",VLOOKUP(C1302,Compte!$A$3:$B$346,2,0))</f>
        <v/>
      </c>
      <c r="I1302" s="1043" t="str">
        <f>IF(D1302="","",VLOOKUP(D1302,Compte!$A$3:$B$346,2,0))</f>
        <v/>
      </c>
    </row>
    <row r="1303" spans="1:9">
      <c r="A1303" s="1206"/>
      <c r="B1303" s="606"/>
      <c r="C1303" s="1046"/>
      <c r="D1303" s="1048"/>
      <c r="E1303" s="1068"/>
      <c r="F1303" s="1044"/>
      <c r="G1303" s="1077">
        <f t="shared" si="20"/>
        <v>0</v>
      </c>
      <c r="H1303" s="1042" t="str">
        <f>IF(C1303="","",VLOOKUP(C1303,Compte!$A$3:$B$346,2,0))</f>
        <v/>
      </c>
      <c r="I1303" s="1043" t="str">
        <f>IF(D1303="","",VLOOKUP(D1303,Compte!$A$3:$B$346,2,0))</f>
        <v/>
      </c>
    </row>
    <row r="1304" spans="1:9">
      <c r="A1304" s="1206"/>
      <c r="B1304" s="606"/>
      <c r="C1304" s="1046"/>
      <c r="D1304" s="1048"/>
      <c r="E1304" s="1068"/>
      <c r="F1304" s="1044"/>
      <c r="G1304" s="1077">
        <f t="shared" si="20"/>
        <v>0</v>
      </c>
      <c r="H1304" s="1042" t="str">
        <f>IF(C1304="","",VLOOKUP(C1304,Compte!$A$3:$B$346,2,0))</f>
        <v/>
      </c>
      <c r="I1304" s="1043" t="str">
        <f>IF(D1304="","",VLOOKUP(D1304,Compte!$A$3:$B$346,2,0))</f>
        <v/>
      </c>
    </row>
    <row r="1305" spans="1:9">
      <c r="A1305" s="1206"/>
      <c r="B1305" s="606"/>
      <c r="C1305" s="1046"/>
      <c r="D1305" s="1048"/>
      <c r="E1305" s="1068"/>
      <c r="F1305" s="1044"/>
      <c r="G1305" s="1077">
        <f t="shared" si="20"/>
        <v>0</v>
      </c>
      <c r="H1305" s="1042" t="str">
        <f>IF(C1305="","",VLOOKUP(C1305,Compte!$A$3:$B$346,2,0))</f>
        <v/>
      </c>
      <c r="I1305" s="1043" t="str">
        <f>IF(D1305="","",VLOOKUP(D1305,Compte!$A$3:$B$346,2,0))</f>
        <v/>
      </c>
    </row>
    <row r="1306" spans="1:9">
      <c r="A1306" s="1206"/>
      <c r="B1306" s="606"/>
      <c r="C1306" s="1046"/>
      <c r="D1306" s="1048"/>
      <c r="E1306" s="1068"/>
      <c r="F1306" s="1044"/>
      <c r="G1306" s="1077">
        <f t="shared" si="20"/>
        <v>0</v>
      </c>
      <c r="H1306" s="1042" t="str">
        <f>IF(C1306="","",VLOOKUP(C1306,Compte!$A$3:$B$346,2,0))</f>
        <v/>
      </c>
      <c r="I1306" s="1043" t="str">
        <f>IF(D1306="","",VLOOKUP(D1306,Compte!$A$3:$B$346,2,0))</f>
        <v/>
      </c>
    </row>
    <row r="1307" spans="1:9">
      <c r="A1307" s="1206"/>
      <c r="B1307" s="606"/>
      <c r="C1307" s="1046"/>
      <c r="D1307" s="1048"/>
      <c r="E1307" s="1068"/>
      <c r="F1307" s="1044"/>
      <c r="G1307" s="1077">
        <f t="shared" si="20"/>
        <v>0</v>
      </c>
      <c r="H1307" s="1042" t="str">
        <f>IF(C1307="","",VLOOKUP(C1307,Compte!$A$3:$B$346,2,0))</f>
        <v/>
      </c>
      <c r="I1307" s="1043" t="str">
        <f>IF(D1307="","",VLOOKUP(D1307,Compte!$A$3:$B$346,2,0))</f>
        <v/>
      </c>
    </row>
    <row r="1308" spans="1:9">
      <c r="A1308" s="1206"/>
      <c r="B1308" s="606"/>
      <c r="C1308" s="1046"/>
      <c r="D1308" s="1048"/>
      <c r="E1308" s="1068"/>
      <c r="F1308" s="1044"/>
      <c r="G1308" s="1077">
        <f t="shared" si="20"/>
        <v>0</v>
      </c>
      <c r="H1308" s="1042" t="str">
        <f>IF(C1308="","",VLOOKUP(C1308,Compte!$A$3:$B$346,2,0))</f>
        <v/>
      </c>
      <c r="I1308" s="1043" t="str">
        <f>IF(D1308="","",VLOOKUP(D1308,Compte!$A$3:$B$346,2,0))</f>
        <v/>
      </c>
    </row>
    <row r="1309" spans="1:9">
      <c r="A1309" s="1206"/>
      <c r="B1309" s="606"/>
      <c r="C1309" s="1046"/>
      <c r="D1309" s="1048"/>
      <c r="E1309" s="1068"/>
      <c r="F1309" s="1044"/>
      <c r="G1309" s="1077">
        <f t="shared" si="20"/>
        <v>0</v>
      </c>
      <c r="H1309" s="1042" t="str">
        <f>IF(C1309="","",VLOOKUP(C1309,Compte!$A$3:$B$346,2,0))</f>
        <v/>
      </c>
      <c r="I1309" s="1043" t="str">
        <f>IF(D1309="","",VLOOKUP(D1309,Compte!$A$3:$B$346,2,0))</f>
        <v/>
      </c>
    </row>
    <row r="1310" spans="1:9">
      <c r="A1310" s="1206"/>
      <c r="B1310" s="606"/>
      <c r="C1310" s="1046"/>
      <c r="D1310" s="1048"/>
      <c r="E1310" s="1068"/>
      <c r="F1310" s="1044"/>
      <c r="G1310" s="1077">
        <f t="shared" si="20"/>
        <v>0</v>
      </c>
      <c r="H1310" s="1042" t="str">
        <f>IF(C1310="","",VLOOKUP(C1310,Compte!$A$3:$B$346,2,0))</f>
        <v/>
      </c>
      <c r="I1310" s="1043" t="str">
        <f>IF(D1310="","",VLOOKUP(D1310,Compte!$A$3:$B$346,2,0))</f>
        <v/>
      </c>
    </row>
    <row r="1311" spans="1:9">
      <c r="A1311" s="1206"/>
      <c r="B1311" s="606"/>
      <c r="C1311" s="1046"/>
      <c r="D1311" s="1048"/>
      <c r="E1311" s="1068"/>
      <c r="F1311" s="1044"/>
      <c r="G1311" s="1077">
        <f t="shared" si="20"/>
        <v>0</v>
      </c>
      <c r="H1311" s="1042" t="str">
        <f>IF(C1311="","",VLOOKUP(C1311,Compte!$A$3:$B$346,2,0))</f>
        <v/>
      </c>
      <c r="I1311" s="1043" t="str">
        <f>IF(D1311="","",VLOOKUP(D1311,Compte!$A$3:$B$346,2,0))</f>
        <v/>
      </c>
    </row>
    <row r="1312" spans="1:9">
      <c r="A1312" s="1206"/>
      <c r="B1312" s="606"/>
      <c r="C1312" s="1046"/>
      <c r="D1312" s="1048"/>
      <c r="E1312" s="1068"/>
      <c r="F1312" s="1044"/>
      <c r="G1312" s="1077">
        <f t="shared" si="20"/>
        <v>0</v>
      </c>
      <c r="H1312" s="1042" t="str">
        <f>IF(C1312="","",VLOOKUP(C1312,Compte!$A$3:$B$346,2,0))</f>
        <v/>
      </c>
      <c r="I1312" s="1043" t="str">
        <f>IF(D1312="","",VLOOKUP(D1312,Compte!$A$3:$B$346,2,0))</f>
        <v/>
      </c>
    </row>
    <row r="1313" spans="1:9">
      <c r="A1313" s="1206"/>
      <c r="B1313" s="606"/>
      <c r="C1313" s="1046"/>
      <c r="D1313" s="1048"/>
      <c r="E1313" s="1068"/>
      <c r="F1313" s="1044"/>
      <c r="G1313" s="1077">
        <f t="shared" si="20"/>
        <v>0</v>
      </c>
      <c r="H1313" s="1042" t="str">
        <f>IF(C1313="","",VLOOKUP(C1313,Compte!$A$3:$B$346,2,0))</f>
        <v/>
      </c>
      <c r="I1313" s="1043" t="str">
        <f>IF(D1313="","",VLOOKUP(D1313,Compte!$A$3:$B$346,2,0))</f>
        <v/>
      </c>
    </row>
    <row r="1314" spans="1:9">
      <c r="A1314" s="1206"/>
      <c r="B1314" s="606"/>
      <c r="C1314" s="1046"/>
      <c r="D1314" s="1048"/>
      <c r="E1314" s="1068"/>
      <c r="F1314" s="1044"/>
      <c r="G1314" s="1077">
        <f t="shared" si="20"/>
        <v>0</v>
      </c>
      <c r="H1314" s="1042" t="str">
        <f>IF(C1314="","",VLOOKUP(C1314,Compte!$A$3:$B$346,2,0))</f>
        <v/>
      </c>
      <c r="I1314" s="1043" t="str">
        <f>IF(D1314="","",VLOOKUP(D1314,Compte!$A$3:$B$346,2,0))</f>
        <v/>
      </c>
    </row>
    <row r="1315" spans="1:9">
      <c r="A1315" s="1206"/>
      <c r="B1315" s="606"/>
      <c r="C1315" s="1046"/>
      <c r="D1315" s="1048"/>
      <c r="E1315" s="1068"/>
      <c r="F1315" s="1044"/>
      <c r="G1315" s="1077">
        <f t="shared" si="20"/>
        <v>0</v>
      </c>
      <c r="H1315" s="1042" t="str">
        <f>IF(C1315="","",VLOOKUP(C1315,Compte!$A$3:$B$346,2,0))</f>
        <v/>
      </c>
      <c r="I1315" s="1043" t="str">
        <f>IF(D1315="","",VLOOKUP(D1315,Compte!$A$3:$B$346,2,0))</f>
        <v/>
      </c>
    </row>
    <row r="1316" spans="1:9">
      <c r="A1316" s="1206"/>
      <c r="B1316" s="606"/>
      <c r="C1316" s="1046"/>
      <c r="D1316" s="1048"/>
      <c r="E1316" s="1068"/>
      <c r="F1316" s="1044"/>
      <c r="G1316" s="1077">
        <f t="shared" si="20"/>
        <v>0</v>
      </c>
      <c r="H1316" s="1042" t="str">
        <f>IF(C1316="","",VLOOKUP(C1316,Compte!$A$3:$B$346,2,0))</f>
        <v/>
      </c>
      <c r="I1316" s="1043" t="str">
        <f>IF(D1316="","",VLOOKUP(D1316,Compte!$A$3:$B$346,2,0))</f>
        <v/>
      </c>
    </row>
    <row r="1317" spans="1:9">
      <c r="A1317" s="1206"/>
      <c r="B1317" s="606"/>
      <c r="C1317" s="1046"/>
      <c r="D1317" s="1048"/>
      <c r="E1317" s="1068"/>
      <c r="F1317" s="1044"/>
      <c r="G1317" s="1077">
        <f t="shared" si="20"/>
        <v>0</v>
      </c>
      <c r="H1317" s="1042" t="str">
        <f>IF(C1317="","",VLOOKUP(C1317,Compte!$A$3:$B$346,2,0))</f>
        <v/>
      </c>
      <c r="I1317" s="1043" t="str">
        <f>IF(D1317="","",VLOOKUP(D1317,Compte!$A$3:$B$346,2,0))</f>
        <v/>
      </c>
    </row>
    <row r="1318" spans="1:9">
      <c r="A1318" s="1206"/>
      <c r="B1318" s="606"/>
      <c r="C1318" s="1046"/>
      <c r="D1318" s="1048"/>
      <c r="E1318" s="1068"/>
      <c r="F1318" s="1044"/>
      <c r="G1318" s="1077">
        <f t="shared" si="20"/>
        <v>0</v>
      </c>
      <c r="H1318" s="1042" t="str">
        <f>IF(C1318="","",VLOOKUP(C1318,Compte!$A$3:$B$346,2,0))</f>
        <v/>
      </c>
      <c r="I1318" s="1043" t="str">
        <f>IF(D1318="","",VLOOKUP(D1318,Compte!$A$3:$B$346,2,0))</f>
        <v/>
      </c>
    </row>
    <row r="1319" spans="1:9">
      <c r="A1319" s="1206"/>
      <c r="B1319" s="606"/>
      <c r="C1319" s="1046"/>
      <c r="D1319" s="1048"/>
      <c r="E1319" s="1068"/>
      <c r="F1319" s="1044"/>
      <c r="G1319" s="1077">
        <f t="shared" si="20"/>
        <v>0</v>
      </c>
      <c r="H1319" s="1042" t="str">
        <f>IF(C1319="","",VLOOKUP(C1319,Compte!$A$3:$B$346,2,0))</f>
        <v/>
      </c>
      <c r="I1319" s="1043" t="str">
        <f>IF(D1319="","",VLOOKUP(D1319,Compte!$A$3:$B$346,2,0))</f>
        <v/>
      </c>
    </row>
    <row r="1320" spans="1:9">
      <c r="A1320" s="1206"/>
      <c r="B1320" s="606"/>
      <c r="C1320" s="1046"/>
      <c r="D1320" s="1048"/>
      <c r="E1320" s="1068"/>
      <c r="F1320" s="1044"/>
      <c r="G1320" s="1077">
        <f t="shared" si="20"/>
        <v>0</v>
      </c>
      <c r="H1320" s="1042" t="str">
        <f>IF(C1320="","",VLOOKUP(C1320,Compte!$A$3:$B$346,2,0))</f>
        <v/>
      </c>
      <c r="I1320" s="1043" t="str">
        <f>IF(D1320="","",VLOOKUP(D1320,Compte!$A$3:$B$346,2,0))</f>
        <v/>
      </c>
    </row>
    <row r="1321" spans="1:9">
      <c r="A1321" s="1206"/>
      <c r="B1321" s="606"/>
      <c r="C1321" s="1046"/>
      <c r="D1321" s="1048"/>
      <c r="E1321" s="1068"/>
      <c r="F1321" s="1044"/>
      <c r="G1321" s="1077">
        <f t="shared" si="20"/>
        <v>0</v>
      </c>
      <c r="H1321" s="1042" t="str">
        <f>IF(C1321="","",VLOOKUP(C1321,Compte!$A$3:$B$346,2,0))</f>
        <v/>
      </c>
      <c r="I1321" s="1043" t="str">
        <f>IF(D1321="","",VLOOKUP(D1321,Compte!$A$3:$B$346,2,0))</f>
        <v/>
      </c>
    </row>
    <row r="1322" spans="1:9">
      <c r="A1322" s="1206"/>
      <c r="B1322" s="606"/>
      <c r="C1322" s="1046"/>
      <c r="D1322" s="1048"/>
      <c r="E1322" s="1068"/>
      <c r="F1322" s="1044"/>
      <c r="G1322" s="1077">
        <f t="shared" si="20"/>
        <v>0</v>
      </c>
      <c r="H1322" s="1042" t="str">
        <f>IF(C1322="","",VLOOKUP(C1322,Compte!$A$3:$B$346,2,0))</f>
        <v/>
      </c>
      <c r="I1322" s="1043" t="str">
        <f>IF(D1322="","",VLOOKUP(D1322,Compte!$A$3:$B$346,2,0))</f>
        <v/>
      </c>
    </row>
    <row r="1323" spans="1:9">
      <c r="A1323" s="1206"/>
      <c r="B1323" s="606"/>
      <c r="C1323" s="1046"/>
      <c r="D1323" s="1048"/>
      <c r="E1323" s="1068"/>
      <c r="F1323" s="1044"/>
      <c r="G1323" s="1077">
        <f t="shared" si="20"/>
        <v>0</v>
      </c>
      <c r="H1323" s="1042" t="str">
        <f>IF(C1323="","",VLOOKUP(C1323,Compte!$A$3:$B$346,2,0))</f>
        <v/>
      </c>
      <c r="I1323" s="1043" t="str">
        <f>IF(D1323="","",VLOOKUP(D1323,Compte!$A$3:$B$346,2,0))</f>
        <v/>
      </c>
    </row>
    <row r="1324" spans="1:9">
      <c r="A1324" s="1206"/>
      <c r="B1324" s="606"/>
      <c r="C1324" s="1046"/>
      <c r="D1324" s="1048"/>
      <c r="E1324" s="1068"/>
      <c r="F1324" s="1044"/>
      <c r="G1324" s="1077">
        <f t="shared" si="20"/>
        <v>0</v>
      </c>
      <c r="H1324" s="1042" t="str">
        <f>IF(C1324="","",VLOOKUP(C1324,Compte!$A$3:$B$346,2,0))</f>
        <v/>
      </c>
      <c r="I1324" s="1043" t="str">
        <f>IF(D1324="","",VLOOKUP(D1324,Compte!$A$3:$B$346,2,0))</f>
        <v/>
      </c>
    </row>
    <row r="1325" spans="1:9">
      <c r="A1325" s="1206"/>
      <c r="B1325" s="606"/>
      <c r="C1325" s="1046"/>
      <c r="D1325" s="1048"/>
      <c r="E1325" s="1068"/>
      <c r="F1325" s="1044"/>
      <c r="G1325" s="1077">
        <f t="shared" si="20"/>
        <v>0</v>
      </c>
      <c r="H1325" s="1042" t="str">
        <f>IF(C1325="","",VLOOKUP(C1325,Compte!$A$3:$B$346,2,0))</f>
        <v/>
      </c>
      <c r="I1325" s="1043" t="str">
        <f>IF(D1325="","",VLOOKUP(D1325,Compte!$A$3:$B$346,2,0))</f>
        <v/>
      </c>
    </row>
    <row r="1326" spans="1:9">
      <c r="A1326" s="1206"/>
      <c r="B1326" s="606"/>
      <c r="C1326" s="1046"/>
      <c r="D1326" s="1048"/>
      <c r="E1326" s="1068"/>
      <c r="F1326" s="1044"/>
      <c r="G1326" s="1077">
        <f t="shared" si="20"/>
        <v>0</v>
      </c>
      <c r="H1326" s="1042" t="str">
        <f>IF(C1326="","",VLOOKUP(C1326,Compte!$A$3:$B$346,2,0))</f>
        <v/>
      </c>
      <c r="I1326" s="1043" t="str">
        <f>IF(D1326="","",VLOOKUP(D1326,Compte!$A$3:$B$346,2,0))</f>
        <v/>
      </c>
    </row>
    <row r="1327" spans="1:9">
      <c r="A1327" s="1206"/>
      <c r="B1327" s="606"/>
      <c r="C1327" s="1046"/>
      <c r="D1327" s="1048"/>
      <c r="E1327" s="1068"/>
      <c r="F1327" s="1044"/>
      <c r="G1327" s="1077">
        <f t="shared" si="20"/>
        <v>0</v>
      </c>
      <c r="H1327" s="1042" t="str">
        <f>IF(C1327="","",VLOOKUP(C1327,Compte!$A$3:$B$346,2,0))</f>
        <v/>
      </c>
      <c r="I1327" s="1043" t="str">
        <f>IF(D1327="","",VLOOKUP(D1327,Compte!$A$3:$B$346,2,0))</f>
        <v/>
      </c>
    </row>
    <row r="1328" spans="1:9">
      <c r="A1328" s="1206"/>
      <c r="B1328" s="606"/>
      <c r="C1328" s="1046"/>
      <c r="D1328" s="1048"/>
      <c r="E1328" s="1068"/>
      <c r="F1328" s="1044"/>
      <c r="G1328" s="1077">
        <f t="shared" si="20"/>
        <v>0</v>
      </c>
      <c r="H1328" s="1042" t="str">
        <f>IF(C1328="","",VLOOKUP(C1328,Compte!$A$3:$B$346,2,0))</f>
        <v/>
      </c>
      <c r="I1328" s="1043" t="str">
        <f>IF(D1328="","",VLOOKUP(D1328,Compte!$A$3:$B$346,2,0))</f>
        <v/>
      </c>
    </row>
    <row r="1329" spans="1:9">
      <c r="A1329" s="1206"/>
      <c r="B1329" s="606"/>
      <c r="C1329" s="1046"/>
      <c r="D1329" s="1048"/>
      <c r="E1329" s="1068"/>
      <c r="F1329" s="1044"/>
      <c r="G1329" s="1077">
        <f t="shared" si="20"/>
        <v>0</v>
      </c>
      <c r="H1329" s="1042" t="str">
        <f>IF(C1329="","",VLOOKUP(C1329,Compte!$A$3:$B$346,2,0))</f>
        <v/>
      </c>
      <c r="I1329" s="1043" t="str">
        <f>IF(D1329="","",VLOOKUP(D1329,Compte!$A$3:$B$346,2,0))</f>
        <v/>
      </c>
    </row>
    <row r="1330" spans="1:9">
      <c r="A1330" s="1206"/>
      <c r="B1330" s="606"/>
      <c r="C1330" s="1046"/>
      <c r="D1330" s="1048"/>
      <c r="E1330" s="1068"/>
      <c r="F1330" s="1044"/>
      <c r="G1330" s="1077">
        <f t="shared" si="20"/>
        <v>0</v>
      </c>
      <c r="H1330" s="1042" t="str">
        <f>IF(C1330="","",VLOOKUP(C1330,Compte!$A$3:$B$346,2,0))</f>
        <v/>
      </c>
      <c r="I1330" s="1043" t="str">
        <f>IF(D1330="","",VLOOKUP(D1330,Compte!$A$3:$B$346,2,0))</f>
        <v/>
      </c>
    </row>
    <row r="1331" spans="1:9">
      <c r="A1331" s="1206"/>
      <c r="B1331" s="606"/>
      <c r="C1331" s="1046"/>
      <c r="D1331" s="1048"/>
      <c r="E1331" s="1068"/>
      <c r="F1331" s="1044"/>
      <c r="G1331" s="1077">
        <f t="shared" si="20"/>
        <v>0</v>
      </c>
      <c r="H1331" s="1042" t="str">
        <f>IF(C1331="","",VLOOKUP(C1331,Compte!$A$3:$B$346,2,0))</f>
        <v/>
      </c>
      <c r="I1331" s="1043" t="str">
        <f>IF(D1331="","",VLOOKUP(D1331,Compte!$A$3:$B$346,2,0))</f>
        <v/>
      </c>
    </row>
    <row r="1332" spans="1:9">
      <c r="A1332" s="1206"/>
      <c r="B1332" s="606"/>
      <c r="C1332" s="1046"/>
      <c r="D1332" s="1048"/>
      <c r="E1332" s="1068"/>
      <c r="F1332" s="1044"/>
      <c r="G1332" s="1077">
        <f t="shared" si="20"/>
        <v>0</v>
      </c>
      <c r="H1332" s="1042" t="str">
        <f>IF(C1332="","",VLOOKUP(C1332,Compte!$A$3:$B$346,2,0))</f>
        <v/>
      </c>
      <c r="I1332" s="1043" t="str">
        <f>IF(D1332="","",VLOOKUP(D1332,Compte!$A$3:$B$346,2,0))</f>
        <v/>
      </c>
    </row>
    <row r="1333" spans="1:9">
      <c r="A1333" s="1206"/>
      <c r="B1333" s="606"/>
      <c r="C1333" s="1046"/>
      <c r="D1333" s="1048"/>
      <c r="E1333" s="1068"/>
      <c r="F1333" s="1044"/>
      <c r="G1333" s="1077">
        <f t="shared" si="20"/>
        <v>0</v>
      </c>
      <c r="H1333" s="1042" t="str">
        <f>IF(C1333="","",VLOOKUP(C1333,Compte!$A$3:$B$346,2,0))</f>
        <v/>
      </c>
      <c r="I1333" s="1043" t="str">
        <f>IF(D1333="","",VLOOKUP(D1333,Compte!$A$3:$B$346,2,0))</f>
        <v/>
      </c>
    </row>
    <row r="1334" spans="1:9">
      <c r="A1334" s="1206"/>
      <c r="B1334" s="606"/>
      <c r="C1334" s="1046"/>
      <c r="D1334" s="1048"/>
      <c r="E1334" s="1068"/>
      <c r="F1334" s="1044"/>
      <c r="G1334" s="1077">
        <f t="shared" si="20"/>
        <v>0</v>
      </c>
      <c r="H1334" s="1042" t="str">
        <f>IF(C1334="","",VLOOKUP(C1334,Compte!$A$3:$B$346,2,0))</f>
        <v/>
      </c>
      <c r="I1334" s="1043" t="str">
        <f>IF(D1334="","",VLOOKUP(D1334,Compte!$A$3:$B$346,2,0))</f>
        <v/>
      </c>
    </row>
    <row r="1335" spans="1:9">
      <c r="A1335" s="1206"/>
      <c r="B1335" s="606"/>
      <c r="C1335" s="1046"/>
      <c r="D1335" s="1048"/>
      <c r="E1335" s="1068"/>
      <c r="F1335" s="1044"/>
      <c r="G1335" s="1077">
        <f t="shared" si="20"/>
        <v>0</v>
      </c>
      <c r="H1335" s="1042" t="str">
        <f>IF(C1335="","",VLOOKUP(C1335,Compte!$A$3:$B$346,2,0))</f>
        <v/>
      </c>
      <c r="I1335" s="1043" t="str">
        <f>IF(D1335="","",VLOOKUP(D1335,Compte!$A$3:$B$346,2,0))</f>
        <v/>
      </c>
    </row>
    <row r="1336" spans="1:9">
      <c r="A1336" s="1206"/>
      <c r="B1336" s="606"/>
      <c r="C1336" s="1046"/>
      <c r="D1336" s="1048"/>
      <c r="E1336" s="1068"/>
      <c r="F1336" s="1044"/>
      <c r="G1336" s="1077">
        <f t="shared" si="20"/>
        <v>0</v>
      </c>
      <c r="H1336" s="1042" t="str">
        <f>IF(C1336="","",VLOOKUP(C1336,Compte!$A$3:$B$346,2,0))</f>
        <v/>
      </c>
      <c r="I1336" s="1043" t="str">
        <f>IF(D1336="","",VLOOKUP(D1336,Compte!$A$3:$B$346,2,0))</f>
        <v/>
      </c>
    </row>
    <row r="1337" spans="1:9">
      <c r="A1337" s="1206"/>
      <c r="B1337" s="606"/>
      <c r="C1337" s="1046"/>
      <c r="D1337" s="1048"/>
      <c r="E1337" s="1068"/>
      <c r="F1337" s="1044"/>
      <c r="G1337" s="1077">
        <f t="shared" si="20"/>
        <v>0</v>
      </c>
      <c r="H1337" s="1042" t="str">
        <f>IF(C1337="","",VLOOKUP(C1337,Compte!$A$3:$B$346,2,0))</f>
        <v/>
      </c>
      <c r="I1337" s="1043" t="str">
        <f>IF(D1337="","",VLOOKUP(D1337,Compte!$A$3:$B$346,2,0))</f>
        <v/>
      </c>
    </row>
    <row r="1338" spans="1:9">
      <c r="A1338" s="1206"/>
      <c r="B1338" s="606"/>
      <c r="C1338" s="1046"/>
      <c r="D1338" s="1048"/>
      <c r="E1338" s="1068"/>
      <c r="F1338" s="1044"/>
      <c r="G1338" s="1077">
        <f t="shared" si="20"/>
        <v>0</v>
      </c>
      <c r="H1338" s="1042" t="str">
        <f>IF(C1338="","",VLOOKUP(C1338,Compte!$A$3:$B$346,2,0))</f>
        <v/>
      </c>
      <c r="I1338" s="1043" t="str">
        <f>IF(D1338="","",VLOOKUP(D1338,Compte!$A$3:$B$346,2,0))</f>
        <v/>
      </c>
    </row>
    <row r="1339" spans="1:9">
      <c r="A1339" s="1206"/>
      <c r="B1339" s="606"/>
      <c r="C1339" s="1046"/>
      <c r="D1339" s="1048"/>
      <c r="E1339" s="1068"/>
      <c r="F1339" s="1044"/>
      <c r="G1339" s="1077">
        <f t="shared" si="20"/>
        <v>0</v>
      </c>
      <c r="H1339" s="1042" t="str">
        <f>IF(C1339="","",VLOOKUP(C1339,Compte!$A$3:$B$346,2,0))</f>
        <v/>
      </c>
      <c r="I1339" s="1043" t="str">
        <f>IF(D1339="","",VLOOKUP(D1339,Compte!$A$3:$B$346,2,0))</f>
        <v/>
      </c>
    </row>
    <row r="1340" spans="1:9">
      <c r="A1340" s="1206"/>
      <c r="B1340" s="606"/>
      <c r="C1340" s="1046"/>
      <c r="D1340" s="1048"/>
      <c r="E1340" s="1068"/>
      <c r="F1340" s="1044"/>
      <c r="G1340" s="1077">
        <f t="shared" si="20"/>
        <v>0</v>
      </c>
      <c r="H1340" s="1042" t="str">
        <f>IF(C1340="","",VLOOKUP(C1340,Compte!$A$3:$B$346,2,0))</f>
        <v/>
      </c>
      <c r="I1340" s="1043" t="str">
        <f>IF(D1340="","",VLOOKUP(D1340,Compte!$A$3:$B$346,2,0))</f>
        <v/>
      </c>
    </row>
    <row r="1341" spans="1:9">
      <c r="A1341" s="1206"/>
      <c r="B1341" s="606"/>
      <c r="C1341" s="1046"/>
      <c r="D1341" s="1048"/>
      <c r="E1341" s="1068"/>
      <c r="F1341" s="1044"/>
      <c r="G1341" s="1077">
        <f t="shared" si="20"/>
        <v>0</v>
      </c>
      <c r="H1341" s="1042" t="str">
        <f>IF(C1341="","",VLOOKUP(C1341,Compte!$A$3:$B$346,2,0))</f>
        <v/>
      </c>
      <c r="I1341" s="1043" t="str">
        <f>IF(D1341="","",VLOOKUP(D1341,Compte!$A$3:$B$346,2,0))</f>
        <v/>
      </c>
    </row>
    <row r="1342" spans="1:9">
      <c r="A1342" s="1206"/>
      <c r="B1342" s="606"/>
      <c r="C1342" s="1046"/>
      <c r="D1342" s="1048"/>
      <c r="E1342" s="1068"/>
      <c r="F1342" s="1044"/>
      <c r="G1342" s="1077">
        <f t="shared" si="20"/>
        <v>0</v>
      </c>
      <c r="H1342" s="1042" t="str">
        <f>IF(C1342="","",VLOOKUP(C1342,Compte!$A$3:$B$346,2,0))</f>
        <v/>
      </c>
      <c r="I1342" s="1043" t="str">
        <f>IF(D1342="","",VLOOKUP(D1342,Compte!$A$3:$B$346,2,0))</f>
        <v/>
      </c>
    </row>
    <row r="1343" spans="1:9">
      <c r="A1343" s="1206"/>
      <c r="B1343" s="606"/>
      <c r="C1343" s="1046"/>
      <c r="D1343" s="1048"/>
      <c r="E1343" s="1068"/>
      <c r="F1343" s="1044"/>
      <c r="G1343" s="1077">
        <f t="shared" si="20"/>
        <v>0</v>
      </c>
      <c r="H1343" s="1042" t="str">
        <f>IF(C1343="","",VLOOKUP(C1343,Compte!$A$3:$B$346,2,0))</f>
        <v/>
      </c>
      <c r="I1343" s="1043" t="str">
        <f>IF(D1343="","",VLOOKUP(D1343,Compte!$A$3:$B$346,2,0))</f>
        <v/>
      </c>
    </row>
    <row r="1344" spans="1:9">
      <c r="A1344" s="1206"/>
      <c r="B1344" s="606"/>
      <c r="C1344" s="1046"/>
      <c r="D1344" s="1048"/>
      <c r="E1344" s="1068"/>
      <c r="F1344" s="1044"/>
      <c r="G1344" s="1077">
        <f t="shared" si="20"/>
        <v>0</v>
      </c>
      <c r="H1344" s="1042" t="str">
        <f>IF(C1344="","",VLOOKUP(C1344,Compte!$A$3:$B$346,2,0))</f>
        <v/>
      </c>
      <c r="I1344" s="1043" t="str">
        <f>IF(D1344="","",VLOOKUP(D1344,Compte!$A$3:$B$346,2,0))</f>
        <v/>
      </c>
    </row>
    <row r="1345" spans="1:9">
      <c r="A1345" s="1206"/>
      <c r="B1345" s="606"/>
      <c r="C1345" s="1046"/>
      <c r="D1345" s="1048"/>
      <c r="E1345" s="1068"/>
      <c r="F1345" s="1044"/>
      <c r="G1345" s="1077">
        <f t="shared" si="20"/>
        <v>0</v>
      </c>
      <c r="H1345" s="1042" t="str">
        <f>IF(C1345="","",VLOOKUP(C1345,Compte!$A$3:$B$346,2,0))</f>
        <v/>
      </c>
      <c r="I1345" s="1043" t="str">
        <f>IF(D1345="","",VLOOKUP(D1345,Compte!$A$3:$B$346,2,0))</f>
        <v/>
      </c>
    </row>
    <row r="1346" spans="1:9">
      <c r="A1346" s="1206"/>
      <c r="B1346" s="606"/>
      <c r="C1346" s="1046"/>
      <c r="D1346" s="1048"/>
      <c r="E1346" s="1068"/>
      <c r="F1346" s="1044"/>
      <c r="G1346" s="1077">
        <f t="shared" si="20"/>
        <v>0</v>
      </c>
      <c r="H1346" s="1042" t="str">
        <f>IF(C1346="","",VLOOKUP(C1346,Compte!$A$3:$B$346,2,0))</f>
        <v/>
      </c>
      <c r="I1346" s="1043" t="str">
        <f>IF(D1346="","",VLOOKUP(D1346,Compte!$A$3:$B$346,2,0))</f>
        <v/>
      </c>
    </row>
    <row r="1347" spans="1:9">
      <c r="A1347" s="1206"/>
      <c r="B1347" s="606"/>
      <c r="C1347" s="1046"/>
      <c r="D1347" s="1048"/>
      <c r="E1347" s="1068"/>
      <c r="F1347" s="1044"/>
      <c r="G1347" s="1077">
        <f t="shared" si="20"/>
        <v>0</v>
      </c>
      <c r="H1347" s="1042" t="str">
        <f>IF(C1347="","",VLOOKUP(C1347,Compte!$A$3:$B$346,2,0))</f>
        <v/>
      </c>
      <c r="I1347" s="1043" t="str">
        <f>IF(D1347="","",VLOOKUP(D1347,Compte!$A$3:$B$346,2,0))</f>
        <v/>
      </c>
    </row>
    <row r="1348" spans="1:9">
      <c r="A1348" s="1206"/>
      <c r="B1348" s="606"/>
      <c r="C1348" s="1046"/>
      <c r="D1348" s="1048"/>
      <c r="E1348" s="1068"/>
      <c r="F1348" s="1044"/>
      <c r="G1348" s="1077">
        <f t="shared" si="20"/>
        <v>0</v>
      </c>
      <c r="H1348" s="1042" t="str">
        <f>IF(C1348="","",VLOOKUP(C1348,Compte!$A$3:$B$346,2,0))</f>
        <v/>
      </c>
      <c r="I1348" s="1043" t="str">
        <f>IF(D1348="","",VLOOKUP(D1348,Compte!$A$3:$B$346,2,0))</f>
        <v/>
      </c>
    </row>
    <row r="1349" spans="1:9">
      <c r="A1349" s="1206"/>
      <c r="B1349" s="606"/>
      <c r="C1349" s="1046"/>
      <c r="D1349" s="1048"/>
      <c r="E1349" s="1068"/>
      <c r="F1349" s="1044"/>
      <c r="G1349" s="1077">
        <f t="shared" si="20"/>
        <v>0</v>
      </c>
      <c r="H1349" s="1042" t="str">
        <f>IF(C1349="","",VLOOKUP(C1349,Compte!$A$3:$B$346,2,0))</f>
        <v/>
      </c>
      <c r="I1349" s="1043" t="str">
        <f>IF(D1349="","",VLOOKUP(D1349,Compte!$A$3:$B$346,2,0))</f>
        <v/>
      </c>
    </row>
    <row r="1350" spans="1:9">
      <c r="A1350" s="1206"/>
      <c r="B1350" s="606"/>
      <c r="C1350" s="1046"/>
      <c r="D1350" s="1048"/>
      <c r="E1350" s="1068"/>
      <c r="F1350" s="1044"/>
      <c r="G1350" s="1077">
        <f t="shared" si="20"/>
        <v>0</v>
      </c>
      <c r="H1350" s="1042" t="str">
        <f>IF(C1350="","",VLOOKUP(C1350,Compte!$A$3:$B$346,2,0))</f>
        <v/>
      </c>
      <c r="I1350" s="1043" t="str">
        <f>IF(D1350="","",VLOOKUP(D1350,Compte!$A$3:$B$346,2,0))</f>
        <v/>
      </c>
    </row>
    <row r="1351" spans="1:9">
      <c r="A1351" s="1206"/>
      <c r="B1351" s="606"/>
      <c r="C1351" s="1046"/>
      <c r="D1351" s="1048"/>
      <c r="E1351" s="1068"/>
      <c r="F1351" s="1044"/>
      <c r="G1351" s="1077">
        <f t="shared" si="20"/>
        <v>0</v>
      </c>
      <c r="H1351" s="1042" t="str">
        <f>IF(C1351="","",VLOOKUP(C1351,Compte!$A$3:$B$346,2,0))</f>
        <v/>
      </c>
      <c r="I1351" s="1043" t="str">
        <f>IF(D1351="","",VLOOKUP(D1351,Compte!$A$3:$B$346,2,0))</f>
        <v/>
      </c>
    </row>
    <row r="1352" spans="1:9">
      <c r="A1352" s="1206"/>
      <c r="B1352" s="606"/>
      <c r="C1352" s="1046"/>
      <c r="D1352" s="1048"/>
      <c r="E1352" s="1068"/>
      <c r="F1352" s="1044"/>
      <c r="G1352" s="1077">
        <f t="shared" ref="G1352:G1415" si="21">IF(C1352="",F1352,E1352)</f>
        <v>0</v>
      </c>
      <c r="H1352" s="1042" t="str">
        <f>IF(C1352="","",VLOOKUP(C1352,Compte!$A$3:$B$346,2,0))</f>
        <v/>
      </c>
      <c r="I1352" s="1043" t="str">
        <f>IF(D1352="","",VLOOKUP(D1352,Compte!$A$3:$B$346,2,0))</f>
        <v/>
      </c>
    </row>
    <row r="1353" spans="1:9">
      <c r="A1353" s="1206"/>
      <c r="B1353" s="606"/>
      <c r="C1353" s="1046"/>
      <c r="D1353" s="1048"/>
      <c r="E1353" s="1068"/>
      <c r="F1353" s="1044"/>
      <c r="G1353" s="1077">
        <f t="shared" si="21"/>
        <v>0</v>
      </c>
      <c r="H1353" s="1042" t="str">
        <f>IF(C1353="","",VLOOKUP(C1353,Compte!$A$3:$B$346,2,0))</f>
        <v/>
      </c>
      <c r="I1353" s="1043" t="str">
        <f>IF(D1353="","",VLOOKUP(D1353,Compte!$A$3:$B$346,2,0))</f>
        <v/>
      </c>
    </row>
    <row r="1354" spans="1:9">
      <c r="A1354" s="1206"/>
      <c r="B1354" s="606"/>
      <c r="C1354" s="1046"/>
      <c r="D1354" s="1048"/>
      <c r="E1354" s="1068"/>
      <c r="F1354" s="1044"/>
      <c r="G1354" s="1077">
        <f t="shared" si="21"/>
        <v>0</v>
      </c>
      <c r="H1354" s="1042" t="str">
        <f>IF(C1354="","",VLOOKUP(C1354,Compte!$A$3:$B$346,2,0))</f>
        <v/>
      </c>
      <c r="I1354" s="1043" t="str">
        <f>IF(D1354="","",VLOOKUP(D1354,Compte!$A$3:$B$346,2,0))</f>
        <v/>
      </c>
    </row>
    <row r="1355" spans="1:9">
      <c r="A1355" s="1206"/>
      <c r="B1355" s="606"/>
      <c r="C1355" s="1046"/>
      <c r="D1355" s="1048"/>
      <c r="E1355" s="1068"/>
      <c r="F1355" s="1044"/>
      <c r="G1355" s="1077">
        <f t="shared" si="21"/>
        <v>0</v>
      </c>
      <c r="H1355" s="1042" t="str">
        <f>IF(C1355="","",VLOOKUP(C1355,Compte!$A$3:$B$346,2,0))</f>
        <v/>
      </c>
      <c r="I1355" s="1043" t="str">
        <f>IF(D1355="","",VLOOKUP(D1355,Compte!$A$3:$B$346,2,0))</f>
        <v/>
      </c>
    </row>
    <row r="1356" spans="1:9">
      <c r="A1356" s="1206"/>
      <c r="B1356" s="606"/>
      <c r="C1356" s="1046"/>
      <c r="D1356" s="1048"/>
      <c r="E1356" s="1068"/>
      <c r="F1356" s="1044"/>
      <c r="G1356" s="1077">
        <f t="shared" si="21"/>
        <v>0</v>
      </c>
      <c r="H1356" s="1042" t="str">
        <f>IF(C1356="","",VLOOKUP(C1356,Compte!$A$3:$B$346,2,0))</f>
        <v/>
      </c>
      <c r="I1356" s="1043" t="str">
        <f>IF(D1356="","",VLOOKUP(D1356,Compte!$A$3:$B$346,2,0))</f>
        <v/>
      </c>
    </row>
    <row r="1357" spans="1:9">
      <c r="A1357" s="1206"/>
      <c r="B1357" s="606"/>
      <c r="C1357" s="1046"/>
      <c r="D1357" s="1048"/>
      <c r="E1357" s="1068"/>
      <c r="F1357" s="1044"/>
      <c r="G1357" s="1077">
        <f t="shared" si="21"/>
        <v>0</v>
      </c>
      <c r="H1357" s="1042" t="str">
        <f>IF(C1357="","",VLOOKUP(C1357,Compte!$A$3:$B$346,2,0))</f>
        <v/>
      </c>
      <c r="I1357" s="1043" t="str">
        <f>IF(D1357="","",VLOOKUP(D1357,Compte!$A$3:$B$346,2,0))</f>
        <v/>
      </c>
    </row>
    <row r="1358" spans="1:9">
      <c r="A1358" s="1206"/>
      <c r="B1358" s="606"/>
      <c r="C1358" s="1046"/>
      <c r="D1358" s="1048"/>
      <c r="E1358" s="1068"/>
      <c r="F1358" s="1044"/>
      <c r="G1358" s="1077">
        <f t="shared" si="21"/>
        <v>0</v>
      </c>
      <c r="H1358" s="1042" t="str">
        <f>IF(C1358="","",VLOOKUP(C1358,Compte!$A$3:$B$346,2,0))</f>
        <v/>
      </c>
      <c r="I1358" s="1043" t="str">
        <f>IF(D1358="","",VLOOKUP(D1358,Compte!$A$3:$B$346,2,0))</f>
        <v/>
      </c>
    </row>
    <row r="1359" spans="1:9">
      <c r="A1359" s="1206"/>
      <c r="B1359" s="606"/>
      <c r="C1359" s="1046"/>
      <c r="D1359" s="1048"/>
      <c r="E1359" s="1068"/>
      <c r="F1359" s="1044"/>
      <c r="G1359" s="1077">
        <f t="shared" si="21"/>
        <v>0</v>
      </c>
      <c r="H1359" s="1042" t="str">
        <f>IF(C1359="","",VLOOKUP(C1359,Compte!$A$3:$B$346,2,0))</f>
        <v/>
      </c>
      <c r="I1359" s="1043" t="str">
        <f>IF(D1359="","",VLOOKUP(D1359,Compte!$A$3:$B$346,2,0))</f>
        <v/>
      </c>
    </row>
    <row r="1360" spans="1:9">
      <c r="A1360" s="1206"/>
      <c r="B1360" s="606"/>
      <c r="C1360" s="1046"/>
      <c r="D1360" s="1048"/>
      <c r="E1360" s="1068"/>
      <c r="F1360" s="1044"/>
      <c r="G1360" s="1077">
        <f t="shared" si="21"/>
        <v>0</v>
      </c>
      <c r="H1360" s="1042" t="str">
        <f>IF(C1360="","",VLOOKUP(C1360,Compte!$A$3:$B$346,2,0))</f>
        <v/>
      </c>
      <c r="I1360" s="1043" t="str">
        <f>IF(D1360="","",VLOOKUP(D1360,Compte!$A$3:$B$346,2,0))</f>
        <v/>
      </c>
    </row>
    <row r="1361" spans="1:9">
      <c r="A1361" s="1206"/>
      <c r="B1361" s="606"/>
      <c r="C1361" s="1046"/>
      <c r="D1361" s="1048"/>
      <c r="E1361" s="1068"/>
      <c r="F1361" s="1044"/>
      <c r="G1361" s="1077">
        <f t="shared" si="21"/>
        <v>0</v>
      </c>
      <c r="H1361" s="1042" t="str">
        <f>IF(C1361="","",VLOOKUP(C1361,Compte!$A$3:$B$346,2,0))</f>
        <v/>
      </c>
      <c r="I1361" s="1043" t="str">
        <f>IF(D1361="","",VLOOKUP(D1361,Compte!$A$3:$B$346,2,0))</f>
        <v/>
      </c>
    </row>
    <row r="1362" spans="1:9">
      <c r="A1362" s="1206"/>
      <c r="B1362" s="606"/>
      <c r="C1362" s="1046"/>
      <c r="D1362" s="1048"/>
      <c r="E1362" s="1068"/>
      <c r="F1362" s="1044"/>
      <c r="G1362" s="1077">
        <f t="shared" si="21"/>
        <v>0</v>
      </c>
      <c r="H1362" s="1042" t="str">
        <f>IF(C1362="","",VLOOKUP(C1362,Compte!$A$3:$B$346,2,0))</f>
        <v/>
      </c>
      <c r="I1362" s="1043" t="str">
        <f>IF(D1362="","",VLOOKUP(D1362,Compte!$A$3:$B$346,2,0))</f>
        <v/>
      </c>
    </row>
    <row r="1363" spans="1:9">
      <c r="A1363" s="1206"/>
      <c r="B1363" s="606"/>
      <c r="C1363" s="1046"/>
      <c r="D1363" s="1048"/>
      <c r="E1363" s="1068"/>
      <c r="F1363" s="1044"/>
      <c r="G1363" s="1077">
        <f t="shared" si="21"/>
        <v>0</v>
      </c>
      <c r="H1363" s="1042" t="str">
        <f>IF(C1363="","",VLOOKUP(C1363,Compte!$A$3:$B$346,2,0))</f>
        <v/>
      </c>
      <c r="I1363" s="1043" t="str">
        <f>IF(D1363="","",VLOOKUP(D1363,Compte!$A$3:$B$346,2,0))</f>
        <v/>
      </c>
    </row>
    <row r="1364" spans="1:9">
      <c r="A1364" s="1206"/>
      <c r="B1364" s="606"/>
      <c r="C1364" s="1046"/>
      <c r="D1364" s="1048"/>
      <c r="E1364" s="1068"/>
      <c r="F1364" s="1044"/>
      <c r="G1364" s="1077">
        <f t="shared" si="21"/>
        <v>0</v>
      </c>
      <c r="H1364" s="1042" t="str">
        <f>IF(C1364="","",VLOOKUP(C1364,Compte!$A$3:$B$346,2,0))</f>
        <v/>
      </c>
      <c r="I1364" s="1043" t="str">
        <f>IF(D1364="","",VLOOKUP(D1364,Compte!$A$3:$B$346,2,0))</f>
        <v/>
      </c>
    </row>
    <row r="1365" spans="1:9">
      <c r="A1365" s="1206"/>
      <c r="B1365" s="606"/>
      <c r="C1365" s="1046"/>
      <c r="D1365" s="1048"/>
      <c r="E1365" s="1068"/>
      <c r="F1365" s="1044"/>
      <c r="G1365" s="1077">
        <f t="shared" si="21"/>
        <v>0</v>
      </c>
      <c r="H1365" s="1042" t="str">
        <f>IF(C1365="","",VLOOKUP(C1365,Compte!$A$3:$B$346,2,0))</f>
        <v/>
      </c>
      <c r="I1365" s="1043" t="str">
        <f>IF(D1365="","",VLOOKUP(D1365,Compte!$A$3:$B$346,2,0))</f>
        <v/>
      </c>
    </row>
    <row r="1366" spans="1:9">
      <c r="A1366" s="1206"/>
      <c r="B1366" s="606"/>
      <c r="C1366" s="1046"/>
      <c r="D1366" s="1048"/>
      <c r="E1366" s="1068"/>
      <c r="F1366" s="1044"/>
      <c r="G1366" s="1077">
        <f t="shared" si="21"/>
        <v>0</v>
      </c>
      <c r="H1366" s="1042" t="str">
        <f>IF(C1366="","",VLOOKUP(C1366,Compte!$A$3:$B$346,2,0))</f>
        <v/>
      </c>
      <c r="I1366" s="1043" t="str">
        <f>IF(D1366="","",VLOOKUP(D1366,Compte!$A$3:$B$346,2,0))</f>
        <v/>
      </c>
    </row>
    <row r="1367" spans="1:9">
      <c r="A1367" s="1206"/>
      <c r="B1367" s="606"/>
      <c r="C1367" s="1046"/>
      <c r="D1367" s="1048"/>
      <c r="E1367" s="1068"/>
      <c r="F1367" s="1044"/>
      <c r="G1367" s="1077">
        <f t="shared" si="21"/>
        <v>0</v>
      </c>
      <c r="H1367" s="1042" t="str">
        <f>IF(C1367="","",VLOOKUP(C1367,Compte!$A$3:$B$346,2,0))</f>
        <v/>
      </c>
      <c r="I1367" s="1043" t="str">
        <f>IF(D1367="","",VLOOKUP(D1367,Compte!$A$3:$B$346,2,0))</f>
        <v/>
      </c>
    </row>
    <row r="1368" spans="1:9">
      <c r="A1368" s="1206"/>
      <c r="B1368" s="606"/>
      <c r="C1368" s="1046"/>
      <c r="D1368" s="1048"/>
      <c r="E1368" s="1068"/>
      <c r="F1368" s="1044"/>
      <c r="G1368" s="1077">
        <f t="shared" si="21"/>
        <v>0</v>
      </c>
      <c r="H1368" s="1042" t="str">
        <f>IF(C1368="","",VLOOKUP(C1368,Compte!$A$3:$B$346,2,0))</f>
        <v/>
      </c>
      <c r="I1368" s="1043" t="str">
        <f>IF(D1368="","",VLOOKUP(D1368,Compte!$A$3:$B$346,2,0))</f>
        <v/>
      </c>
    </row>
    <row r="1369" spans="1:9">
      <c r="A1369" s="1206"/>
      <c r="B1369" s="606"/>
      <c r="C1369" s="1046"/>
      <c r="D1369" s="1048"/>
      <c r="E1369" s="1068"/>
      <c r="F1369" s="1044"/>
      <c r="G1369" s="1077">
        <f t="shared" si="21"/>
        <v>0</v>
      </c>
      <c r="H1369" s="1042" t="str">
        <f>IF(C1369="","",VLOOKUP(C1369,Compte!$A$3:$B$346,2,0))</f>
        <v/>
      </c>
      <c r="I1369" s="1043" t="str">
        <f>IF(D1369="","",VLOOKUP(D1369,Compte!$A$3:$B$346,2,0))</f>
        <v/>
      </c>
    </row>
    <row r="1370" spans="1:9">
      <c r="A1370" s="1206"/>
      <c r="B1370" s="606"/>
      <c r="C1370" s="1046"/>
      <c r="D1370" s="1048"/>
      <c r="E1370" s="1068"/>
      <c r="F1370" s="1044"/>
      <c r="G1370" s="1077">
        <f t="shared" si="21"/>
        <v>0</v>
      </c>
      <c r="H1370" s="1042" t="str">
        <f>IF(C1370="","",VLOOKUP(C1370,Compte!$A$3:$B$346,2,0))</f>
        <v/>
      </c>
      <c r="I1370" s="1043" t="str">
        <f>IF(D1370="","",VLOOKUP(D1370,Compte!$A$3:$B$346,2,0))</f>
        <v/>
      </c>
    </row>
    <row r="1371" spans="1:9">
      <c r="A1371" s="1206"/>
      <c r="B1371" s="606"/>
      <c r="C1371" s="1046"/>
      <c r="D1371" s="1048"/>
      <c r="E1371" s="1068"/>
      <c r="F1371" s="1044"/>
      <c r="G1371" s="1077">
        <f t="shared" si="21"/>
        <v>0</v>
      </c>
      <c r="H1371" s="1042" t="str">
        <f>IF(C1371="","",VLOOKUP(C1371,Compte!$A$3:$B$346,2,0))</f>
        <v/>
      </c>
      <c r="I1371" s="1043" t="str">
        <f>IF(D1371="","",VLOOKUP(D1371,Compte!$A$3:$B$346,2,0))</f>
        <v/>
      </c>
    </row>
    <row r="1372" spans="1:9">
      <c r="A1372" s="1206"/>
      <c r="B1372" s="606"/>
      <c r="C1372" s="1046"/>
      <c r="D1372" s="1048"/>
      <c r="E1372" s="1068"/>
      <c r="F1372" s="1044"/>
      <c r="G1372" s="1077">
        <f t="shared" si="21"/>
        <v>0</v>
      </c>
      <c r="H1372" s="1042" t="str">
        <f>IF(C1372="","",VLOOKUP(C1372,Compte!$A$3:$B$346,2,0))</f>
        <v/>
      </c>
      <c r="I1372" s="1043" t="str">
        <f>IF(D1372="","",VLOOKUP(D1372,Compte!$A$3:$B$346,2,0))</f>
        <v/>
      </c>
    </row>
    <row r="1373" spans="1:9">
      <c r="A1373" s="1206"/>
      <c r="B1373" s="606"/>
      <c r="C1373" s="1046"/>
      <c r="D1373" s="1048"/>
      <c r="E1373" s="1068"/>
      <c r="F1373" s="1044"/>
      <c r="G1373" s="1077">
        <f t="shared" si="21"/>
        <v>0</v>
      </c>
      <c r="H1373" s="1042" t="str">
        <f>IF(C1373="","",VLOOKUP(C1373,Compte!$A$3:$B$346,2,0))</f>
        <v/>
      </c>
      <c r="I1373" s="1043" t="str">
        <f>IF(D1373="","",VLOOKUP(D1373,Compte!$A$3:$B$346,2,0))</f>
        <v/>
      </c>
    </row>
    <row r="1374" spans="1:9">
      <c r="A1374" s="1206"/>
      <c r="B1374" s="606"/>
      <c r="C1374" s="1046"/>
      <c r="D1374" s="1048"/>
      <c r="E1374" s="1068"/>
      <c r="F1374" s="1044"/>
      <c r="G1374" s="1077">
        <f t="shared" si="21"/>
        <v>0</v>
      </c>
      <c r="H1374" s="1042" t="str">
        <f>IF(C1374="","",VLOOKUP(C1374,Compte!$A$3:$B$346,2,0))</f>
        <v/>
      </c>
      <c r="I1374" s="1043" t="str">
        <f>IF(D1374="","",VLOOKUP(D1374,Compte!$A$3:$B$346,2,0))</f>
        <v/>
      </c>
    </row>
    <row r="1375" spans="1:9">
      <c r="A1375" s="1206"/>
      <c r="B1375" s="606"/>
      <c r="C1375" s="1046"/>
      <c r="D1375" s="1048"/>
      <c r="E1375" s="1068"/>
      <c r="F1375" s="1044"/>
      <c r="G1375" s="1077">
        <f t="shared" si="21"/>
        <v>0</v>
      </c>
      <c r="H1375" s="1042" t="str">
        <f>IF(C1375="","",VLOOKUP(C1375,Compte!$A$3:$B$346,2,0))</f>
        <v/>
      </c>
      <c r="I1375" s="1043" t="str">
        <f>IF(D1375="","",VLOOKUP(D1375,Compte!$A$3:$B$346,2,0))</f>
        <v/>
      </c>
    </row>
    <row r="1376" spans="1:9">
      <c r="A1376" s="1206"/>
      <c r="B1376" s="606"/>
      <c r="C1376" s="1046"/>
      <c r="D1376" s="1048"/>
      <c r="E1376" s="1068"/>
      <c r="F1376" s="1044"/>
      <c r="G1376" s="1077">
        <f t="shared" si="21"/>
        <v>0</v>
      </c>
      <c r="H1376" s="1042" t="str">
        <f>IF(C1376="","",VLOOKUP(C1376,Compte!$A$3:$B$346,2,0))</f>
        <v/>
      </c>
      <c r="I1376" s="1043" t="str">
        <f>IF(D1376="","",VLOOKUP(D1376,Compte!$A$3:$B$346,2,0))</f>
        <v/>
      </c>
    </row>
    <row r="1377" spans="1:9">
      <c r="A1377" s="1206"/>
      <c r="B1377" s="606"/>
      <c r="C1377" s="1046"/>
      <c r="D1377" s="1048"/>
      <c r="E1377" s="1068"/>
      <c r="F1377" s="1044"/>
      <c r="G1377" s="1077">
        <f t="shared" si="21"/>
        <v>0</v>
      </c>
      <c r="H1377" s="1042" t="str">
        <f>IF(C1377="","",VLOOKUP(C1377,Compte!$A$3:$B$346,2,0))</f>
        <v/>
      </c>
      <c r="I1377" s="1043" t="str">
        <f>IF(D1377="","",VLOOKUP(D1377,Compte!$A$3:$B$346,2,0))</f>
        <v/>
      </c>
    </row>
    <row r="1378" spans="1:9">
      <c r="A1378" s="1206"/>
      <c r="B1378" s="606"/>
      <c r="C1378" s="1046"/>
      <c r="D1378" s="1048"/>
      <c r="E1378" s="1068"/>
      <c r="F1378" s="1044"/>
      <c r="G1378" s="1077">
        <f t="shared" si="21"/>
        <v>0</v>
      </c>
      <c r="H1378" s="1042" t="str">
        <f>IF(C1378="","",VLOOKUP(C1378,Compte!$A$3:$B$346,2,0))</f>
        <v/>
      </c>
      <c r="I1378" s="1043" t="str">
        <f>IF(D1378="","",VLOOKUP(D1378,Compte!$A$3:$B$346,2,0))</f>
        <v/>
      </c>
    </row>
    <row r="1379" spans="1:9">
      <c r="A1379" s="1206"/>
      <c r="B1379" s="606"/>
      <c r="C1379" s="1046"/>
      <c r="D1379" s="1048"/>
      <c r="E1379" s="1068"/>
      <c r="F1379" s="1044"/>
      <c r="G1379" s="1077">
        <f t="shared" si="21"/>
        <v>0</v>
      </c>
      <c r="H1379" s="1042" t="str">
        <f>IF(C1379="","",VLOOKUP(C1379,Compte!$A$3:$B$346,2,0))</f>
        <v/>
      </c>
      <c r="I1379" s="1043" t="str">
        <f>IF(D1379="","",VLOOKUP(D1379,Compte!$A$3:$B$346,2,0))</f>
        <v/>
      </c>
    </row>
    <row r="1380" spans="1:9">
      <c r="A1380" s="1206"/>
      <c r="B1380" s="606"/>
      <c r="C1380" s="1046"/>
      <c r="D1380" s="1048"/>
      <c r="E1380" s="1068"/>
      <c r="F1380" s="1044"/>
      <c r="G1380" s="1077">
        <f t="shared" si="21"/>
        <v>0</v>
      </c>
      <c r="H1380" s="1042" t="str">
        <f>IF(C1380="","",VLOOKUP(C1380,Compte!$A$3:$B$346,2,0))</f>
        <v/>
      </c>
      <c r="I1380" s="1043" t="str">
        <f>IF(D1380="","",VLOOKUP(D1380,Compte!$A$3:$B$346,2,0))</f>
        <v/>
      </c>
    </row>
    <row r="1381" spans="1:9">
      <c r="A1381" s="1206"/>
      <c r="B1381" s="606"/>
      <c r="C1381" s="1046"/>
      <c r="D1381" s="1048"/>
      <c r="E1381" s="1068"/>
      <c r="F1381" s="1044"/>
      <c r="G1381" s="1077">
        <f t="shared" si="21"/>
        <v>0</v>
      </c>
      <c r="H1381" s="1042" t="str">
        <f>IF(C1381="","",VLOOKUP(C1381,Compte!$A$3:$B$346,2,0))</f>
        <v/>
      </c>
      <c r="I1381" s="1043" t="str">
        <f>IF(D1381="","",VLOOKUP(D1381,Compte!$A$3:$B$346,2,0))</f>
        <v/>
      </c>
    </row>
    <row r="1382" spans="1:9">
      <c r="A1382" s="1206"/>
      <c r="B1382" s="606"/>
      <c r="C1382" s="1046"/>
      <c r="D1382" s="1048"/>
      <c r="E1382" s="1068"/>
      <c r="F1382" s="1044"/>
      <c r="G1382" s="1077">
        <f t="shared" si="21"/>
        <v>0</v>
      </c>
      <c r="H1382" s="1042" t="str">
        <f>IF(C1382="","",VLOOKUP(C1382,Compte!$A$3:$B$346,2,0))</f>
        <v/>
      </c>
      <c r="I1382" s="1043" t="str">
        <f>IF(D1382="","",VLOOKUP(D1382,Compte!$A$3:$B$346,2,0))</f>
        <v/>
      </c>
    </row>
    <row r="1383" spans="1:9">
      <c r="A1383" s="1206"/>
      <c r="B1383" s="606"/>
      <c r="C1383" s="1046"/>
      <c r="D1383" s="1048"/>
      <c r="E1383" s="1068"/>
      <c r="F1383" s="1044"/>
      <c r="G1383" s="1077">
        <f t="shared" si="21"/>
        <v>0</v>
      </c>
      <c r="H1383" s="1042" t="str">
        <f>IF(C1383="","",VLOOKUP(C1383,Compte!$A$3:$B$346,2,0))</f>
        <v/>
      </c>
      <c r="I1383" s="1043" t="str">
        <f>IF(D1383="","",VLOOKUP(D1383,Compte!$A$3:$B$346,2,0))</f>
        <v/>
      </c>
    </row>
    <row r="1384" spans="1:9">
      <c r="A1384" s="1206"/>
      <c r="B1384" s="606"/>
      <c r="C1384" s="1046"/>
      <c r="D1384" s="1048"/>
      <c r="E1384" s="1068"/>
      <c r="F1384" s="1044"/>
      <c r="G1384" s="1077">
        <f t="shared" si="21"/>
        <v>0</v>
      </c>
      <c r="H1384" s="1042" t="str">
        <f>IF(C1384="","",VLOOKUP(C1384,Compte!$A$3:$B$346,2,0))</f>
        <v/>
      </c>
      <c r="I1384" s="1043" t="str">
        <f>IF(D1384="","",VLOOKUP(D1384,Compte!$A$3:$B$346,2,0))</f>
        <v/>
      </c>
    </row>
    <row r="1385" spans="1:9">
      <c r="A1385" s="1206"/>
      <c r="B1385" s="606"/>
      <c r="C1385" s="1046"/>
      <c r="D1385" s="1048"/>
      <c r="E1385" s="1068"/>
      <c r="F1385" s="1044"/>
      <c r="G1385" s="1077">
        <f t="shared" si="21"/>
        <v>0</v>
      </c>
      <c r="H1385" s="1042" t="str">
        <f>IF(C1385="","",VLOOKUP(C1385,Compte!$A$3:$B$346,2,0))</f>
        <v/>
      </c>
      <c r="I1385" s="1043" t="str">
        <f>IF(D1385="","",VLOOKUP(D1385,Compte!$A$3:$B$346,2,0))</f>
        <v/>
      </c>
    </row>
    <row r="1386" spans="1:9">
      <c r="A1386" s="1206"/>
      <c r="B1386" s="606"/>
      <c r="C1386" s="1046"/>
      <c r="D1386" s="1048"/>
      <c r="E1386" s="1068"/>
      <c r="F1386" s="1044"/>
      <c r="G1386" s="1077">
        <f t="shared" si="21"/>
        <v>0</v>
      </c>
      <c r="H1386" s="1042" t="str">
        <f>IF(C1386="","",VLOOKUP(C1386,Compte!$A$3:$B$346,2,0))</f>
        <v/>
      </c>
      <c r="I1386" s="1043" t="str">
        <f>IF(D1386="","",VLOOKUP(D1386,Compte!$A$3:$B$346,2,0))</f>
        <v/>
      </c>
    </row>
    <row r="1387" spans="1:9">
      <c r="A1387" s="1206"/>
      <c r="B1387" s="606"/>
      <c r="C1387" s="1046"/>
      <c r="D1387" s="1048"/>
      <c r="E1387" s="1068"/>
      <c r="F1387" s="1044"/>
      <c r="G1387" s="1077">
        <f t="shared" si="21"/>
        <v>0</v>
      </c>
      <c r="H1387" s="1042" t="str">
        <f>IF(C1387="","",VLOOKUP(C1387,Compte!$A$3:$B$346,2,0))</f>
        <v/>
      </c>
      <c r="I1387" s="1043" t="str">
        <f>IF(D1387="","",VLOOKUP(D1387,Compte!$A$3:$B$346,2,0))</f>
        <v/>
      </c>
    </row>
    <row r="1388" spans="1:9">
      <c r="A1388" s="1206"/>
      <c r="B1388" s="606"/>
      <c r="C1388" s="1046"/>
      <c r="D1388" s="1048"/>
      <c r="E1388" s="1068"/>
      <c r="F1388" s="1044"/>
      <c r="G1388" s="1077">
        <f t="shared" si="21"/>
        <v>0</v>
      </c>
      <c r="H1388" s="1042" t="str">
        <f>IF(C1388="","",VLOOKUP(C1388,Compte!$A$3:$B$346,2,0))</f>
        <v/>
      </c>
      <c r="I1388" s="1043" t="str">
        <f>IF(D1388="","",VLOOKUP(D1388,Compte!$A$3:$B$346,2,0))</f>
        <v/>
      </c>
    </row>
    <row r="1389" spans="1:9">
      <c r="A1389" s="1206"/>
      <c r="B1389" s="606"/>
      <c r="C1389" s="1046"/>
      <c r="D1389" s="1048"/>
      <c r="E1389" s="1068"/>
      <c r="F1389" s="1044"/>
      <c r="G1389" s="1077">
        <f t="shared" si="21"/>
        <v>0</v>
      </c>
      <c r="H1389" s="1042" t="str">
        <f>IF(C1389="","",VLOOKUP(C1389,Compte!$A$3:$B$346,2,0))</f>
        <v/>
      </c>
      <c r="I1389" s="1043" t="str">
        <f>IF(D1389="","",VLOOKUP(D1389,Compte!$A$3:$B$346,2,0))</f>
        <v/>
      </c>
    </row>
    <row r="1390" spans="1:9">
      <c r="A1390" s="1206"/>
      <c r="B1390" s="606"/>
      <c r="C1390" s="1046"/>
      <c r="D1390" s="1048"/>
      <c r="E1390" s="1068"/>
      <c r="F1390" s="1044"/>
      <c r="G1390" s="1077">
        <f t="shared" si="21"/>
        <v>0</v>
      </c>
      <c r="H1390" s="1042" t="str">
        <f>IF(C1390="","",VLOOKUP(C1390,Compte!$A$3:$B$346,2,0))</f>
        <v/>
      </c>
      <c r="I1390" s="1043" t="str">
        <f>IF(D1390="","",VLOOKUP(D1390,Compte!$A$3:$B$346,2,0))</f>
        <v/>
      </c>
    </row>
    <row r="1391" spans="1:9">
      <c r="A1391" s="1206"/>
      <c r="B1391" s="606"/>
      <c r="C1391" s="1046"/>
      <c r="D1391" s="1048"/>
      <c r="E1391" s="1068"/>
      <c r="F1391" s="1044"/>
      <c r="G1391" s="1077">
        <f t="shared" si="21"/>
        <v>0</v>
      </c>
      <c r="H1391" s="1042" t="str">
        <f>IF(C1391="","",VLOOKUP(C1391,Compte!$A$3:$B$346,2,0))</f>
        <v/>
      </c>
      <c r="I1391" s="1043" t="str">
        <f>IF(D1391="","",VLOOKUP(D1391,Compte!$A$3:$B$346,2,0))</f>
        <v/>
      </c>
    </row>
    <row r="1392" spans="1:9">
      <c r="A1392" s="1206"/>
      <c r="B1392" s="606"/>
      <c r="C1392" s="1046"/>
      <c r="D1392" s="1048"/>
      <c r="E1392" s="1068"/>
      <c r="F1392" s="1044"/>
      <c r="G1392" s="1077">
        <f t="shared" si="21"/>
        <v>0</v>
      </c>
      <c r="H1392" s="1042" t="str">
        <f>IF(C1392="","",VLOOKUP(C1392,Compte!$A$3:$B$346,2,0))</f>
        <v/>
      </c>
      <c r="I1392" s="1043" t="str">
        <f>IF(D1392="","",VLOOKUP(D1392,Compte!$A$3:$B$346,2,0))</f>
        <v/>
      </c>
    </row>
    <row r="1393" spans="1:9">
      <c r="A1393" s="1206"/>
      <c r="B1393" s="606"/>
      <c r="C1393" s="1046"/>
      <c r="D1393" s="1048"/>
      <c r="E1393" s="1068"/>
      <c r="F1393" s="1044"/>
      <c r="G1393" s="1077">
        <f t="shared" si="21"/>
        <v>0</v>
      </c>
      <c r="H1393" s="1042" t="str">
        <f>IF(C1393="","",VLOOKUP(C1393,Compte!$A$3:$B$346,2,0))</f>
        <v/>
      </c>
      <c r="I1393" s="1043" t="str">
        <f>IF(D1393="","",VLOOKUP(D1393,Compte!$A$3:$B$346,2,0))</f>
        <v/>
      </c>
    </row>
    <row r="1394" spans="1:9">
      <c r="A1394" s="1206"/>
      <c r="B1394" s="606"/>
      <c r="C1394" s="1046"/>
      <c r="D1394" s="1048"/>
      <c r="E1394" s="1068"/>
      <c r="F1394" s="1044"/>
      <c r="G1394" s="1077">
        <f t="shared" si="21"/>
        <v>0</v>
      </c>
      <c r="H1394" s="1042" t="str">
        <f>IF(C1394="","",VLOOKUP(C1394,Compte!$A$3:$B$346,2,0))</f>
        <v/>
      </c>
      <c r="I1394" s="1043" t="str">
        <f>IF(D1394="","",VLOOKUP(D1394,Compte!$A$3:$B$346,2,0))</f>
        <v/>
      </c>
    </row>
    <row r="1395" spans="1:9">
      <c r="A1395" s="1206"/>
      <c r="B1395" s="606"/>
      <c r="C1395" s="1046"/>
      <c r="D1395" s="1048"/>
      <c r="E1395" s="1068"/>
      <c r="F1395" s="1044"/>
      <c r="G1395" s="1077">
        <f t="shared" si="21"/>
        <v>0</v>
      </c>
      <c r="H1395" s="1042" t="str">
        <f>IF(C1395="","",VLOOKUP(C1395,Compte!$A$3:$B$346,2,0))</f>
        <v/>
      </c>
      <c r="I1395" s="1043" t="str">
        <f>IF(D1395="","",VLOOKUP(D1395,Compte!$A$3:$B$346,2,0))</f>
        <v/>
      </c>
    </row>
    <row r="1396" spans="1:9">
      <c r="A1396" s="1206"/>
      <c r="B1396" s="606"/>
      <c r="C1396" s="1046"/>
      <c r="D1396" s="1048"/>
      <c r="E1396" s="1068"/>
      <c r="F1396" s="1044"/>
      <c r="G1396" s="1077">
        <f t="shared" si="21"/>
        <v>0</v>
      </c>
      <c r="H1396" s="1042" t="str">
        <f>IF(C1396="","",VLOOKUP(C1396,Compte!$A$3:$B$346,2,0))</f>
        <v/>
      </c>
      <c r="I1396" s="1043" t="str">
        <f>IF(D1396="","",VLOOKUP(D1396,Compte!$A$3:$B$346,2,0))</f>
        <v/>
      </c>
    </row>
    <row r="1397" spans="1:9">
      <c r="A1397" s="1206"/>
      <c r="B1397" s="606"/>
      <c r="C1397" s="1046"/>
      <c r="D1397" s="1048"/>
      <c r="E1397" s="1068"/>
      <c r="F1397" s="1044"/>
      <c r="G1397" s="1077">
        <f t="shared" si="21"/>
        <v>0</v>
      </c>
      <c r="H1397" s="1042" t="str">
        <f>IF(C1397="","",VLOOKUP(C1397,Compte!$A$3:$B$346,2,0))</f>
        <v/>
      </c>
      <c r="I1397" s="1043" t="str">
        <f>IF(D1397="","",VLOOKUP(D1397,Compte!$A$3:$B$346,2,0))</f>
        <v/>
      </c>
    </row>
    <row r="1398" spans="1:9">
      <c r="A1398" s="1206"/>
      <c r="B1398" s="606"/>
      <c r="C1398" s="1046"/>
      <c r="D1398" s="1048"/>
      <c r="E1398" s="1068"/>
      <c r="F1398" s="1044"/>
      <c r="G1398" s="1077">
        <f t="shared" si="21"/>
        <v>0</v>
      </c>
      <c r="H1398" s="1042" t="str">
        <f>IF(C1398="","",VLOOKUP(C1398,Compte!$A$3:$B$346,2,0))</f>
        <v/>
      </c>
      <c r="I1398" s="1043" t="str">
        <f>IF(D1398="","",VLOOKUP(D1398,Compte!$A$3:$B$346,2,0))</f>
        <v/>
      </c>
    </row>
    <row r="1399" spans="1:9">
      <c r="A1399" s="1206"/>
      <c r="B1399" s="606"/>
      <c r="C1399" s="1046"/>
      <c r="D1399" s="1048"/>
      <c r="E1399" s="1068"/>
      <c r="F1399" s="1044"/>
      <c r="G1399" s="1077">
        <f t="shared" si="21"/>
        <v>0</v>
      </c>
      <c r="H1399" s="1042" t="str">
        <f>IF(C1399="","",VLOOKUP(C1399,Compte!$A$3:$B$346,2,0))</f>
        <v/>
      </c>
      <c r="I1399" s="1043" t="str">
        <f>IF(D1399="","",VLOOKUP(D1399,Compte!$A$3:$B$346,2,0))</f>
        <v/>
      </c>
    </row>
    <row r="1400" spans="1:9">
      <c r="A1400" s="1206"/>
      <c r="B1400" s="606"/>
      <c r="C1400" s="1046"/>
      <c r="D1400" s="1048"/>
      <c r="E1400" s="1068"/>
      <c r="F1400" s="1044"/>
      <c r="G1400" s="1077">
        <f t="shared" si="21"/>
        <v>0</v>
      </c>
      <c r="H1400" s="1042" t="str">
        <f>IF(C1400="","",VLOOKUP(C1400,Compte!$A$3:$B$346,2,0))</f>
        <v/>
      </c>
      <c r="I1400" s="1043" t="str">
        <f>IF(D1400="","",VLOOKUP(D1400,Compte!$A$3:$B$346,2,0))</f>
        <v/>
      </c>
    </row>
    <row r="1401" spans="1:9">
      <c r="A1401" s="1206"/>
      <c r="B1401" s="606"/>
      <c r="C1401" s="1046"/>
      <c r="D1401" s="1048"/>
      <c r="E1401" s="1068"/>
      <c r="F1401" s="1044"/>
      <c r="G1401" s="1077">
        <f t="shared" si="21"/>
        <v>0</v>
      </c>
      <c r="H1401" s="1042" t="str">
        <f>IF(C1401="","",VLOOKUP(C1401,Compte!$A$3:$B$346,2,0))</f>
        <v/>
      </c>
      <c r="I1401" s="1043" t="str">
        <f>IF(D1401="","",VLOOKUP(D1401,Compte!$A$3:$B$346,2,0))</f>
        <v/>
      </c>
    </row>
    <row r="1402" spans="1:9">
      <c r="A1402" s="1206"/>
      <c r="B1402" s="606"/>
      <c r="C1402" s="1046"/>
      <c r="D1402" s="1048"/>
      <c r="E1402" s="1068"/>
      <c r="F1402" s="1044"/>
      <c r="G1402" s="1077">
        <f t="shared" si="21"/>
        <v>0</v>
      </c>
      <c r="H1402" s="1042" t="str">
        <f>IF(C1402="","",VLOOKUP(C1402,Compte!$A$3:$B$346,2,0))</f>
        <v/>
      </c>
      <c r="I1402" s="1043" t="str">
        <f>IF(D1402="","",VLOOKUP(D1402,Compte!$A$3:$B$346,2,0))</f>
        <v/>
      </c>
    </row>
    <row r="1403" spans="1:9">
      <c r="A1403" s="1206"/>
      <c r="B1403" s="606"/>
      <c r="C1403" s="1046"/>
      <c r="D1403" s="1048"/>
      <c r="E1403" s="1068"/>
      <c r="F1403" s="1044"/>
      <c r="G1403" s="1077">
        <f t="shared" si="21"/>
        <v>0</v>
      </c>
      <c r="H1403" s="1042" t="str">
        <f>IF(C1403="","",VLOOKUP(C1403,Compte!$A$3:$B$346,2,0))</f>
        <v/>
      </c>
      <c r="I1403" s="1043" t="str">
        <f>IF(D1403="","",VLOOKUP(D1403,Compte!$A$3:$B$346,2,0))</f>
        <v/>
      </c>
    </row>
    <row r="1404" spans="1:9">
      <c r="A1404" s="1206"/>
      <c r="B1404" s="606"/>
      <c r="C1404" s="1046"/>
      <c r="D1404" s="1048"/>
      <c r="E1404" s="1068"/>
      <c r="F1404" s="1044"/>
      <c r="G1404" s="1077">
        <f t="shared" si="21"/>
        <v>0</v>
      </c>
      <c r="H1404" s="1042" t="str">
        <f>IF(C1404="","",VLOOKUP(C1404,Compte!$A$3:$B$346,2,0))</f>
        <v/>
      </c>
      <c r="I1404" s="1043" t="str">
        <f>IF(D1404="","",VLOOKUP(D1404,Compte!$A$3:$B$346,2,0))</f>
        <v/>
      </c>
    </row>
    <row r="1405" spans="1:9">
      <c r="A1405" s="1206"/>
      <c r="B1405" s="606"/>
      <c r="C1405" s="1046"/>
      <c r="D1405" s="1048"/>
      <c r="E1405" s="1068"/>
      <c r="F1405" s="1044"/>
      <c r="G1405" s="1077">
        <f t="shared" si="21"/>
        <v>0</v>
      </c>
      <c r="H1405" s="1042" t="str">
        <f>IF(C1405="","",VLOOKUP(C1405,Compte!$A$3:$B$346,2,0))</f>
        <v/>
      </c>
      <c r="I1405" s="1043" t="str">
        <f>IF(D1405="","",VLOOKUP(D1405,Compte!$A$3:$B$346,2,0))</f>
        <v/>
      </c>
    </row>
    <row r="1406" spans="1:9">
      <c r="A1406" s="1206"/>
      <c r="B1406" s="606"/>
      <c r="C1406" s="1046"/>
      <c r="D1406" s="1048"/>
      <c r="E1406" s="1068"/>
      <c r="F1406" s="1044"/>
      <c r="G1406" s="1077">
        <f t="shared" si="21"/>
        <v>0</v>
      </c>
      <c r="H1406" s="1042" t="str">
        <f>IF(C1406="","",VLOOKUP(C1406,Compte!$A$3:$B$346,2,0))</f>
        <v/>
      </c>
      <c r="I1406" s="1043" t="str">
        <f>IF(D1406="","",VLOOKUP(D1406,Compte!$A$3:$B$346,2,0))</f>
        <v/>
      </c>
    </row>
    <row r="1407" spans="1:9">
      <c r="A1407" s="1206"/>
      <c r="B1407" s="606"/>
      <c r="C1407" s="1046"/>
      <c r="D1407" s="1048"/>
      <c r="E1407" s="1068"/>
      <c r="F1407" s="1044"/>
      <c r="G1407" s="1077">
        <f t="shared" si="21"/>
        <v>0</v>
      </c>
      <c r="H1407" s="1042" t="str">
        <f>IF(C1407="","",VLOOKUP(C1407,Compte!$A$3:$B$346,2,0))</f>
        <v/>
      </c>
      <c r="I1407" s="1043" t="str">
        <f>IF(D1407="","",VLOOKUP(D1407,Compte!$A$3:$B$346,2,0))</f>
        <v/>
      </c>
    </row>
    <row r="1408" spans="1:9">
      <c r="A1408" s="1206"/>
      <c r="B1408" s="606"/>
      <c r="C1408" s="1046"/>
      <c r="D1408" s="1048"/>
      <c r="E1408" s="1068"/>
      <c r="F1408" s="1044"/>
      <c r="G1408" s="1077">
        <f t="shared" si="21"/>
        <v>0</v>
      </c>
      <c r="H1408" s="1042" t="str">
        <f>IF(C1408="","",VLOOKUP(C1408,Compte!$A$3:$B$346,2,0))</f>
        <v/>
      </c>
      <c r="I1408" s="1043" t="str">
        <f>IF(D1408="","",VLOOKUP(D1408,Compte!$A$3:$B$346,2,0))</f>
        <v/>
      </c>
    </row>
    <row r="1409" spans="1:9">
      <c r="A1409" s="1206"/>
      <c r="B1409" s="606"/>
      <c r="C1409" s="1046"/>
      <c r="D1409" s="1048"/>
      <c r="E1409" s="1068"/>
      <c r="F1409" s="1044"/>
      <c r="G1409" s="1077">
        <f t="shared" si="21"/>
        <v>0</v>
      </c>
      <c r="H1409" s="1042" t="str">
        <f>IF(C1409="","",VLOOKUP(C1409,Compte!$A$3:$B$346,2,0))</f>
        <v/>
      </c>
      <c r="I1409" s="1043" t="str">
        <f>IF(D1409="","",VLOOKUP(D1409,Compte!$A$3:$B$346,2,0))</f>
        <v/>
      </c>
    </row>
    <row r="1410" spans="1:9">
      <c r="A1410" s="1206"/>
      <c r="B1410" s="606"/>
      <c r="C1410" s="1046"/>
      <c r="D1410" s="1048"/>
      <c r="E1410" s="1068"/>
      <c r="F1410" s="1044"/>
      <c r="G1410" s="1077">
        <f t="shared" si="21"/>
        <v>0</v>
      </c>
      <c r="H1410" s="1042" t="str">
        <f>IF(C1410="","",VLOOKUP(C1410,Compte!$A$3:$B$346,2,0))</f>
        <v/>
      </c>
      <c r="I1410" s="1043" t="str">
        <f>IF(D1410="","",VLOOKUP(D1410,Compte!$A$3:$B$346,2,0))</f>
        <v/>
      </c>
    </row>
    <row r="1411" spans="1:9">
      <c r="A1411" s="1206"/>
      <c r="B1411" s="606"/>
      <c r="C1411" s="1046"/>
      <c r="D1411" s="1048"/>
      <c r="E1411" s="1068"/>
      <c r="F1411" s="1044"/>
      <c r="G1411" s="1077">
        <f t="shared" si="21"/>
        <v>0</v>
      </c>
      <c r="H1411" s="1042" t="str">
        <f>IF(C1411="","",VLOOKUP(C1411,Compte!$A$3:$B$346,2,0))</f>
        <v/>
      </c>
      <c r="I1411" s="1043" t="str">
        <f>IF(D1411="","",VLOOKUP(D1411,Compte!$A$3:$B$346,2,0))</f>
        <v/>
      </c>
    </row>
    <row r="1412" spans="1:9">
      <c r="A1412" s="1206"/>
      <c r="B1412" s="606"/>
      <c r="C1412" s="1046"/>
      <c r="D1412" s="1048"/>
      <c r="E1412" s="1068"/>
      <c r="F1412" s="1044"/>
      <c r="G1412" s="1077">
        <f t="shared" si="21"/>
        <v>0</v>
      </c>
      <c r="H1412" s="1042" t="str">
        <f>IF(C1412="","",VLOOKUP(C1412,Compte!$A$3:$B$346,2,0))</f>
        <v/>
      </c>
      <c r="I1412" s="1043" t="str">
        <f>IF(D1412="","",VLOOKUP(D1412,Compte!$A$3:$B$346,2,0))</f>
        <v/>
      </c>
    </row>
    <row r="1413" spans="1:9">
      <c r="A1413" s="1206"/>
      <c r="B1413" s="606"/>
      <c r="C1413" s="1046"/>
      <c r="D1413" s="1048"/>
      <c r="E1413" s="1068"/>
      <c r="F1413" s="1044"/>
      <c r="G1413" s="1077">
        <f t="shared" si="21"/>
        <v>0</v>
      </c>
      <c r="H1413" s="1042" t="str">
        <f>IF(C1413="","",VLOOKUP(C1413,Compte!$A$3:$B$346,2,0))</f>
        <v/>
      </c>
      <c r="I1413" s="1043" t="str">
        <f>IF(D1413="","",VLOOKUP(D1413,Compte!$A$3:$B$346,2,0))</f>
        <v/>
      </c>
    </row>
    <row r="1414" spans="1:9">
      <c r="A1414" s="1206"/>
      <c r="B1414" s="606"/>
      <c r="C1414" s="1046"/>
      <c r="D1414" s="1048"/>
      <c r="E1414" s="1068"/>
      <c r="F1414" s="1044"/>
      <c r="G1414" s="1077">
        <f t="shared" si="21"/>
        <v>0</v>
      </c>
      <c r="H1414" s="1042" t="str">
        <f>IF(C1414="","",VLOOKUP(C1414,Compte!$A$3:$B$346,2,0))</f>
        <v/>
      </c>
      <c r="I1414" s="1043" t="str">
        <f>IF(D1414="","",VLOOKUP(D1414,Compte!$A$3:$B$346,2,0))</f>
        <v/>
      </c>
    </row>
    <row r="1415" spans="1:9">
      <c r="A1415" s="1206"/>
      <c r="B1415" s="606"/>
      <c r="C1415" s="1046"/>
      <c r="D1415" s="1048"/>
      <c r="E1415" s="1068"/>
      <c r="F1415" s="1044"/>
      <c r="G1415" s="1077">
        <f t="shared" si="21"/>
        <v>0</v>
      </c>
      <c r="H1415" s="1042" t="str">
        <f>IF(C1415="","",VLOOKUP(C1415,Compte!$A$3:$B$346,2,0))</f>
        <v/>
      </c>
      <c r="I1415" s="1043" t="str">
        <f>IF(D1415="","",VLOOKUP(D1415,Compte!$A$3:$B$346,2,0))</f>
        <v/>
      </c>
    </row>
    <row r="1416" spans="1:9">
      <c r="A1416" s="1206"/>
      <c r="B1416" s="606"/>
      <c r="C1416" s="1046"/>
      <c r="D1416" s="1048"/>
      <c r="E1416" s="1068"/>
      <c r="F1416" s="1044"/>
      <c r="G1416" s="1077">
        <f t="shared" ref="G1416:G1479" si="22">IF(C1416="",F1416,E1416)</f>
        <v>0</v>
      </c>
      <c r="H1416" s="1042" t="str">
        <f>IF(C1416="","",VLOOKUP(C1416,Compte!$A$3:$B$346,2,0))</f>
        <v/>
      </c>
      <c r="I1416" s="1043" t="str">
        <f>IF(D1416="","",VLOOKUP(D1416,Compte!$A$3:$B$346,2,0))</f>
        <v/>
      </c>
    </row>
    <row r="1417" spans="1:9">
      <c r="A1417" s="1206"/>
      <c r="B1417" s="606"/>
      <c r="C1417" s="1046"/>
      <c r="D1417" s="1048"/>
      <c r="E1417" s="1068"/>
      <c r="F1417" s="1044"/>
      <c r="G1417" s="1077">
        <f t="shared" si="22"/>
        <v>0</v>
      </c>
      <c r="H1417" s="1042" t="str">
        <f>IF(C1417="","",VLOOKUP(C1417,Compte!$A$3:$B$346,2,0))</f>
        <v/>
      </c>
      <c r="I1417" s="1043" t="str">
        <f>IF(D1417="","",VLOOKUP(D1417,Compte!$A$3:$B$346,2,0))</f>
        <v/>
      </c>
    </row>
    <row r="1418" spans="1:9">
      <c r="A1418" s="1206"/>
      <c r="B1418" s="606"/>
      <c r="C1418" s="1046"/>
      <c r="D1418" s="1048"/>
      <c r="E1418" s="1068"/>
      <c r="F1418" s="1044"/>
      <c r="G1418" s="1077">
        <f t="shared" si="22"/>
        <v>0</v>
      </c>
      <c r="H1418" s="1042" t="str">
        <f>IF(C1418="","",VLOOKUP(C1418,Compte!$A$3:$B$346,2,0))</f>
        <v/>
      </c>
      <c r="I1418" s="1043" t="str">
        <f>IF(D1418="","",VLOOKUP(D1418,Compte!$A$3:$B$346,2,0))</f>
        <v/>
      </c>
    </row>
    <row r="1419" spans="1:9">
      <c r="A1419" s="1206"/>
      <c r="B1419" s="606"/>
      <c r="C1419" s="1046"/>
      <c r="D1419" s="1048"/>
      <c r="E1419" s="1068"/>
      <c r="F1419" s="1044"/>
      <c r="G1419" s="1077">
        <f t="shared" si="22"/>
        <v>0</v>
      </c>
      <c r="H1419" s="1042" t="str">
        <f>IF(C1419="","",VLOOKUP(C1419,Compte!$A$3:$B$346,2,0))</f>
        <v/>
      </c>
      <c r="I1419" s="1043" t="str">
        <f>IF(D1419="","",VLOOKUP(D1419,Compte!$A$3:$B$346,2,0))</f>
        <v/>
      </c>
    </row>
    <row r="1420" spans="1:9">
      <c r="A1420" s="1206"/>
      <c r="B1420" s="606"/>
      <c r="C1420" s="1046"/>
      <c r="D1420" s="1048"/>
      <c r="E1420" s="1068"/>
      <c r="F1420" s="1044"/>
      <c r="G1420" s="1077">
        <f t="shared" si="22"/>
        <v>0</v>
      </c>
      <c r="H1420" s="1042" t="str">
        <f>IF(C1420="","",VLOOKUP(C1420,Compte!$A$3:$B$346,2,0))</f>
        <v/>
      </c>
      <c r="I1420" s="1043" t="str">
        <f>IF(D1420="","",VLOOKUP(D1420,Compte!$A$3:$B$346,2,0))</f>
        <v/>
      </c>
    </row>
    <row r="1421" spans="1:9">
      <c r="A1421" s="1206"/>
      <c r="B1421" s="606"/>
      <c r="C1421" s="1046"/>
      <c r="D1421" s="1048"/>
      <c r="E1421" s="1068"/>
      <c r="F1421" s="1044"/>
      <c r="G1421" s="1077">
        <f t="shared" si="22"/>
        <v>0</v>
      </c>
      <c r="H1421" s="1042" t="str">
        <f>IF(C1421="","",VLOOKUP(C1421,Compte!$A$3:$B$346,2,0))</f>
        <v/>
      </c>
      <c r="I1421" s="1043" t="str">
        <f>IF(D1421="","",VLOOKUP(D1421,Compte!$A$3:$B$346,2,0))</f>
        <v/>
      </c>
    </row>
    <row r="1422" spans="1:9">
      <c r="A1422" s="1206"/>
      <c r="B1422" s="606"/>
      <c r="C1422" s="1046"/>
      <c r="D1422" s="1048"/>
      <c r="E1422" s="1068"/>
      <c r="F1422" s="1044"/>
      <c r="G1422" s="1077">
        <f t="shared" si="22"/>
        <v>0</v>
      </c>
      <c r="H1422" s="1042" t="str">
        <f>IF(C1422="","",VLOOKUP(C1422,Compte!$A$3:$B$346,2,0))</f>
        <v/>
      </c>
      <c r="I1422" s="1043" t="str">
        <f>IF(D1422="","",VLOOKUP(D1422,Compte!$A$3:$B$346,2,0))</f>
        <v/>
      </c>
    </row>
    <row r="1423" spans="1:9">
      <c r="A1423" s="1206"/>
      <c r="B1423" s="606"/>
      <c r="C1423" s="1046"/>
      <c r="D1423" s="1048"/>
      <c r="E1423" s="1068"/>
      <c r="F1423" s="1044"/>
      <c r="G1423" s="1077">
        <f t="shared" si="22"/>
        <v>0</v>
      </c>
      <c r="H1423" s="1042" t="str">
        <f>IF(C1423="","",VLOOKUP(C1423,Compte!$A$3:$B$346,2,0))</f>
        <v/>
      </c>
      <c r="I1423" s="1043" t="str">
        <f>IF(D1423="","",VLOOKUP(D1423,Compte!$A$3:$B$346,2,0))</f>
        <v/>
      </c>
    </row>
    <row r="1424" spans="1:9">
      <c r="A1424" s="1206"/>
      <c r="B1424" s="606"/>
      <c r="C1424" s="1046"/>
      <c r="D1424" s="1048"/>
      <c r="E1424" s="1068"/>
      <c r="F1424" s="1044"/>
      <c r="G1424" s="1077">
        <f t="shared" si="22"/>
        <v>0</v>
      </c>
      <c r="H1424" s="1042" t="str">
        <f>IF(C1424="","",VLOOKUP(C1424,Compte!$A$3:$B$346,2,0))</f>
        <v/>
      </c>
      <c r="I1424" s="1043" t="str">
        <f>IF(D1424="","",VLOOKUP(D1424,Compte!$A$3:$B$346,2,0))</f>
        <v/>
      </c>
    </row>
    <row r="1425" spans="1:9">
      <c r="A1425" s="1206"/>
      <c r="B1425" s="606"/>
      <c r="C1425" s="1046"/>
      <c r="D1425" s="1048"/>
      <c r="E1425" s="1068"/>
      <c r="F1425" s="1044"/>
      <c r="G1425" s="1077">
        <f t="shared" si="22"/>
        <v>0</v>
      </c>
      <c r="H1425" s="1042" t="str">
        <f>IF(C1425="","",VLOOKUP(C1425,Compte!$A$3:$B$346,2,0))</f>
        <v/>
      </c>
      <c r="I1425" s="1043" t="str">
        <f>IF(D1425="","",VLOOKUP(D1425,Compte!$A$3:$B$346,2,0))</f>
        <v/>
      </c>
    </row>
    <row r="1426" spans="1:9">
      <c r="A1426" s="1206"/>
      <c r="B1426" s="606"/>
      <c r="C1426" s="1046"/>
      <c r="D1426" s="1048"/>
      <c r="E1426" s="1068"/>
      <c r="F1426" s="1044"/>
      <c r="G1426" s="1077">
        <f t="shared" si="22"/>
        <v>0</v>
      </c>
      <c r="H1426" s="1042" t="str">
        <f>IF(C1426="","",VLOOKUP(C1426,Compte!$A$3:$B$346,2,0))</f>
        <v/>
      </c>
      <c r="I1426" s="1043" t="str">
        <f>IF(D1426="","",VLOOKUP(D1426,Compte!$A$3:$B$346,2,0))</f>
        <v/>
      </c>
    </row>
    <row r="1427" spans="1:9">
      <c r="A1427" s="1206"/>
      <c r="B1427" s="606"/>
      <c r="C1427" s="1046"/>
      <c r="D1427" s="1048"/>
      <c r="E1427" s="1068"/>
      <c r="F1427" s="1044"/>
      <c r="G1427" s="1077">
        <f t="shared" si="22"/>
        <v>0</v>
      </c>
      <c r="H1427" s="1042" t="str">
        <f>IF(C1427="","",VLOOKUP(C1427,Compte!$A$3:$B$346,2,0))</f>
        <v/>
      </c>
      <c r="I1427" s="1043" t="str">
        <f>IF(D1427="","",VLOOKUP(D1427,Compte!$A$3:$B$346,2,0))</f>
        <v/>
      </c>
    </row>
    <row r="1428" spans="1:9">
      <c r="A1428" s="1206"/>
      <c r="B1428" s="606"/>
      <c r="C1428" s="1046"/>
      <c r="D1428" s="1048"/>
      <c r="E1428" s="1068"/>
      <c r="F1428" s="1044"/>
      <c r="G1428" s="1077">
        <f t="shared" si="22"/>
        <v>0</v>
      </c>
      <c r="H1428" s="1042" t="str">
        <f>IF(C1428="","",VLOOKUP(C1428,Compte!$A$3:$B$346,2,0))</f>
        <v/>
      </c>
      <c r="I1428" s="1043" t="str">
        <f>IF(D1428="","",VLOOKUP(D1428,Compte!$A$3:$B$346,2,0))</f>
        <v/>
      </c>
    </row>
    <row r="1429" spans="1:9">
      <c r="A1429" s="1206"/>
      <c r="B1429" s="606"/>
      <c r="C1429" s="1046"/>
      <c r="D1429" s="1048"/>
      <c r="E1429" s="1068"/>
      <c r="F1429" s="1044"/>
      <c r="G1429" s="1077">
        <f t="shared" si="22"/>
        <v>0</v>
      </c>
      <c r="H1429" s="1042" t="str">
        <f>IF(C1429="","",VLOOKUP(C1429,Compte!$A$3:$B$346,2,0))</f>
        <v/>
      </c>
      <c r="I1429" s="1043" t="str">
        <f>IF(D1429="","",VLOOKUP(D1429,Compte!$A$3:$B$346,2,0))</f>
        <v/>
      </c>
    </row>
    <row r="1430" spans="1:9">
      <c r="A1430" s="1206"/>
      <c r="B1430" s="606"/>
      <c r="C1430" s="1046"/>
      <c r="D1430" s="1048"/>
      <c r="E1430" s="1068"/>
      <c r="F1430" s="1044"/>
      <c r="G1430" s="1077">
        <f t="shared" si="22"/>
        <v>0</v>
      </c>
      <c r="H1430" s="1042" t="str">
        <f>IF(C1430="","",VLOOKUP(C1430,Compte!$A$3:$B$346,2,0))</f>
        <v/>
      </c>
      <c r="I1430" s="1043" t="str">
        <f>IF(D1430="","",VLOOKUP(D1430,Compte!$A$3:$B$346,2,0))</f>
        <v/>
      </c>
    </row>
    <row r="1431" spans="1:9">
      <c r="A1431" s="1206"/>
      <c r="B1431" s="606"/>
      <c r="C1431" s="1046"/>
      <c r="D1431" s="1048"/>
      <c r="E1431" s="1068"/>
      <c r="F1431" s="1044"/>
      <c r="G1431" s="1077">
        <f t="shared" si="22"/>
        <v>0</v>
      </c>
      <c r="H1431" s="1042" t="str">
        <f>IF(C1431="","",VLOOKUP(C1431,Compte!$A$3:$B$346,2,0))</f>
        <v/>
      </c>
      <c r="I1431" s="1043" t="str">
        <f>IF(D1431="","",VLOOKUP(D1431,Compte!$A$3:$B$346,2,0))</f>
        <v/>
      </c>
    </row>
    <row r="1432" spans="1:9">
      <c r="A1432" s="1206"/>
      <c r="B1432" s="606"/>
      <c r="C1432" s="1046"/>
      <c r="D1432" s="1048"/>
      <c r="E1432" s="1068"/>
      <c r="F1432" s="1044"/>
      <c r="G1432" s="1077">
        <f t="shared" si="22"/>
        <v>0</v>
      </c>
      <c r="H1432" s="1042" t="str">
        <f>IF(C1432="","",VLOOKUP(C1432,Compte!$A$3:$B$346,2,0))</f>
        <v/>
      </c>
      <c r="I1432" s="1043" t="str">
        <f>IF(D1432="","",VLOOKUP(D1432,Compte!$A$3:$B$346,2,0))</f>
        <v/>
      </c>
    </row>
    <row r="1433" spans="1:9">
      <c r="A1433" s="1206"/>
      <c r="B1433" s="606"/>
      <c r="C1433" s="1046"/>
      <c r="D1433" s="1048"/>
      <c r="E1433" s="1068"/>
      <c r="F1433" s="1044"/>
      <c r="G1433" s="1077">
        <f t="shared" si="22"/>
        <v>0</v>
      </c>
      <c r="H1433" s="1042" t="str">
        <f>IF(C1433="","",VLOOKUP(C1433,Compte!$A$3:$B$346,2,0))</f>
        <v/>
      </c>
      <c r="I1433" s="1043" t="str">
        <f>IF(D1433="","",VLOOKUP(D1433,Compte!$A$3:$B$346,2,0))</f>
        <v/>
      </c>
    </row>
    <row r="1434" spans="1:9">
      <c r="A1434" s="1206"/>
      <c r="B1434" s="606"/>
      <c r="C1434" s="1046"/>
      <c r="D1434" s="1048"/>
      <c r="E1434" s="1068"/>
      <c r="F1434" s="1044"/>
      <c r="G1434" s="1077">
        <f t="shared" si="22"/>
        <v>0</v>
      </c>
      <c r="H1434" s="1042" t="str">
        <f>IF(C1434="","",VLOOKUP(C1434,Compte!$A$3:$B$346,2,0))</f>
        <v/>
      </c>
      <c r="I1434" s="1043" t="str">
        <f>IF(D1434="","",VLOOKUP(D1434,Compte!$A$3:$B$346,2,0))</f>
        <v/>
      </c>
    </row>
    <row r="1435" spans="1:9">
      <c r="A1435" s="1206"/>
      <c r="B1435" s="606"/>
      <c r="C1435" s="1046"/>
      <c r="D1435" s="1048"/>
      <c r="E1435" s="1068"/>
      <c r="F1435" s="1044"/>
      <c r="G1435" s="1077">
        <f t="shared" si="22"/>
        <v>0</v>
      </c>
      <c r="H1435" s="1042" t="str">
        <f>IF(C1435="","",VLOOKUP(C1435,Compte!$A$3:$B$346,2,0))</f>
        <v/>
      </c>
      <c r="I1435" s="1043" t="str">
        <f>IF(D1435="","",VLOOKUP(D1435,Compte!$A$3:$B$346,2,0))</f>
        <v/>
      </c>
    </row>
    <row r="1436" spans="1:9">
      <c r="A1436" s="1206"/>
      <c r="B1436" s="606"/>
      <c r="C1436" s="1046"/>
      <c r="D1436" s="1048"/>
      <c r="E1436" s="1068"/>
      <c r="F1436" s="1044"/>
      <c r="G1436" s="1077">
        <f t="shared" si="22"/>
        <v>0</v>
      </c>
      <c r="H1436" s="1042" t="str">
        <f>IF(C1436="","",VLOOKUP(C1436,Compte!$A$3:$B$346,2,0))</f>
        <v/>
      </c>
      <c r="I1436" s="1043" t="str">
        <f>IF(D1436="","",VLOOKUP(D1436,Compte!$A$3:$B$346,2,0))</f>
        <v/>
      </c>
    </row>
    <row r="1437" spans="1:9">
      <c r="A1437" s="1206"/>
      <c r="B1437" s="606"/>
      <c r="C1437" s="1046"/>
      <c r="D1437" s="1048"/>
      <c r="E1437" s="1068"/>
      <c r="F1437" s="1044"/>
      <c r="G1437" s="1077">
        <f t="shared" si="22"/>
        <v>0</v>
      </c>
      <c r="H1437" s="1042" t="str">
        <f>IF(C1437="","",VLOOKUP(C1437,Compte!$A$3:$B$346,2,0))</f>
        <v/>
      </c>
      <c r="I1437" s="1043" t="str">
        <f>IF(D1437="","",VLOOKUP(D1437,Compte!$A$3:$B$346,2,0))</f>
        <v/>
      </c>
    </row>
    <row r="1438" spans="1:9">
      <c r="A1438" s="1206"/>
      <c r="B1438" s="606"/>
      <c r="C1438" s="1046"/>
      <c r="D1438" s="1048"/>
      <c r="E1438" s="1068"/>
      <c r="F1438" s="1044"/>
      <c r="G1438" s="1077">
        <f t="shared" si="22"/>
        <v>0</v>
      </c>
      <c r="H1438" s="1042" t="str">
        <f>IF(C1438="","",VLOOKUP(C1438,Compte!$A$3:$B$346,2,0))</f>
        <v/>
      </c>
      <c r="I1438" s="1043" t="str">
        <f>IF(D1438="","",VLOOKUP(D1438,Compte!$A$3:$B$346,2,0))</f>
        <v/>
      </c>
    </row>
    <row r="1439" spans="1:9">
      <c r="A1439" s="1206"/>
      <c r="B1439" s="606"/>
      <c r="C1439" s="1046"/>
      <c r="D1439" s="1048"/>
      <c r="E1439" s="1068"/>
      <c r="F1439" s="1044"/>
      <c r="G1439" s="1077">
        <f t="shared" si="22"/>
        <v>0</v>
      </c>
      <c r="H1439" s="1042" t="str">
        <f>IF(C1439="","",VLOOKUP(C1439,Compte!$A$3:$B$346,2,0))</f>
        <v/>
      </c>
      <c r="I1439" s="1043" t="str">
        <f>IF(D1439="","",VLOOKUP(D1439,Compte!$A$3:$B$346,2,0))</f>
        <v/>
      </c>
    </row>
    <row r="1440" spans="1:9">
      <c r="A1440" s="1206"/>
      <c r="B1440" s="606"/>
      <c r="C1440" s="1046"/>
      <c r="D1440" s="1048"/>
      <c r="E1440" s="1068"/>
      <c r="F1440" s="1044"/>
      <c r="G1440" s="1077">
        <f t="shared" si="22"/>
        <v>0</v>
      </c>
      <c r="H1440" s="1042" t="str">
        <f>IF(C1440="","",VLOOKUP(C1440,Compte!$A$3:$B$346,2,0))</f>
        <v/>
      </c>
      <c r="I1440" s="1043" t="str">
        <f>IF(D1440="","",VLOOKUP(D1440,Compte!$A$3:$B$346,2,0))</f>
        <v/>
      </c>
    </row>
    <row r="1441" spans="1:9">
      <c r="A1441" s="1206"/>
      <c r="B1441" s="606"/>
      <c r="C1441" s="1046"/>
      <c r="D1441" s="1048"/>
      <c r="E1441" s="1068"/>
      <c r="F1441" s="1044"/>
      <c r="G1441" s="1077">
        <f t="shared" si="22"/>
        <v>0</v>
      </c>
      <c r="H1441" s="1042" t="str">
        <f>IF(C1441="","",VLOOKUP(C1441,Compte!$A$3:$B$346,2,0))</f>
        <v/>
      </c>
      <c r="I1441" s="1043" t="str">
        <f>IF(D1441="","",VLOOKUP(D1441,Compte!$A$3:$B$346,2,0))</f>
        <v/>
      </c>
    </row>
    <row r="1442" spans="1:9">
      <c r="A1442" s="1206"/>
      <c r="B1442" s="606"/>
      <c r="C1442" s="1046"/>
      <c r="D1442" s="1048"/>
      <c r="E1442" s="1068"/>
      <c r="F1442" s="1044"/>
      <c r="G1442" s="1077">
        <f t="shared" si="22"/>
        <v>0</v>
      </c>
      <c r="H1442" s="1042" t="str">
        <f>IF(C1442="","",VLOOKUP(C1442,Compte!$A$3:$B$346,2,0))</f>
        <v/>
      </c>
      <c r="I1442" s="1043" t="str">
        <f>IF(D1442="","",VLOOKUP(D1442,Compte!$A$3:$B$346,2,0))</f>
        <v/>
      </c>
    </row>
    <row r="1443" spans="1:9">
      <c r="A1443" s="1206"/>
      <c r="B1443" s="606"/>
      <c r="C1443" s="1046"/>
      <c r="D1443" s="1048"/>
      <c r="E1443" s="1068"/>
      <c r="F1443" s="1044"/>
      <c r="G1443" s="1077">
        <f t="shared" si="22"/>
        <v>0</v>
      </c>
      <c r="H1443" s="1042" t="str">
        <f>IF(C1443="","",VLOOKUP(C1443,Compte!$A$3:$B$346,2,0))</f>
        <v/>
      </c>
      <c r="I1443" s="1043" t="str">
        <f>IF(D1443="","",VLOOKUP(D1443,Compte!$A$3:$B$346,2,0))</f>
        <v/>
      </c>
    </row>
    <row r="1444" spans="1:9">
      <c r="A1444" s="1206"/>
      <c r="B1444" s="606"/>
      <c r="C1444" s="1046"/>
      <c r="D1444" s="1048"/>
      <c r="E1444" s="1068"/>
      <c r="F1444" s="1044"/>
      <c r="G1444" s="1077">
        <f t="shared" si="22"/>
        <v>0</v>
      </c>
      <c r="H1444" s="1042" t="str">
        <f>IF(C1444="","",VLOOKUP(C1444,Compte!$A$3:$B$346,2,0))</f>
        <v/>
      </c>
      <c r="I1444" s="1043" t="str">
        <f>IF(D1444="","",VLOOKUP(D1444,Compte!$A$3:$B$346,2,0))</f>
        <v/>
      </c>
    </row>
    <row r="1445" spans="1:9">
      <c r="A1445" s="1206"/>
      <c r="B1445" s="606"/>
      <c r="C1445" s="1046"/>
      <c r="D1445" s="1048"/>
      <c r="E1445" s="1068"/>
      <c r="F1445" s="1044"/>
      <c r="G1445" s="1077">
        <f t="shared" si="22"/>
        <v>0</v>
      </c>
      <c r="H1445" s="1042" t="str">
        <f>IF(C1445="","",VLOOKUP(C1445,Compte!$A$3:$B$346,2,0))</f>
        <v/>
      </c>
      <c r="I1445" s="1043" t="str">
        <f>IF(D1445="","",VLOOKUP(D1445,Compte!$A$3:$B$346,2,0))</f>
        <v/>
      </c>
    </row>
    <row r="1446" spans="1:9">
      <c r="A1446" s="1206"/>
      <c r="B1446" s="606"/>
      <c r="C1446" s="1046"/>
      <c r="D1446" s="1048"/>
      <c r="E1446" s="1068"/>
      <c r="F1446" s="1044"/>
      <c r="G1446" s="1077">
        <f t="shared" si="22"/>
        <v>0</v>
      </c>
      <c r="H1446" s="1042" t="str">
        <f>IF(C1446="","",VLOOKUP(C1446,Compte!$A$3:$B$346,2,0))</f>
        <v/>
      </c>
      <c r="I1446" s="1043" t="str">
        <f>IF(D1446="","",VLOOKUP(D1446,Compte!$A$3:$B$346,2,0))</f>
        <v/>
      </c>
    </row>
    <row r="1447" spans="1:9">
      <c r="A1447" s="1206"/>
      <c r="B1447" s="606"/>
      <c r="C1447" s="1046"/>
      <c r="D1447" s="1048"/>
      <c r="E1447" s="1068"/>
      <c r="F1447" s="1044"/>
      <c r="G1447" s="1077">
        <f t="shared" si="22"/>
        <v>0</v>
      </c>
      <c r="H1447" s="1042" t="str">
        <f>IF(C1447="","",VLOOKUP(C1447,Compte!$A$3:$B$346,2,0))</f>
        <v/>
      </c>
      <c r="I1447" s="1043" t="str">
        <f>IF(D1447="","",VLOOKUP(D1447,Compte!$A$3:$B$346,2,0))</f>
        <v/>
      </c>
    </row>
    <row r="1448" spans="1:9">
      <c r="A1448" s="1206"/>
      <c r="B1448" s="606"/>
      <c r="C1448" s="1046"/>
      <c r="D1448" s="1048"/>
      <c r="E1448" s="1068"/>
      <c r="F1448" s="1044"/>
      <c r="G1448" s="1077">
        <f t="shared" si="22"/>
        <v>0</v>
      </c>
      <c r="H1448" s="1042" t="str">
        <f>IF(C1448="","",VLOOKUP(C1448,Compte!$A$3:$B$346,2,0))</f>
        <v/>
      </c>
      <c r="I1448" s="1043" t="str">
        <f>IF(D1448="","",VLOOKUP(D1448,Compte!$A$3:$B$346,2,0))</f>
        <v/>
      </c>
    </row>
    <row r="1449" spans="1:9">
      <c r="A1449" s="1206"/>
      <c r="B1449" s="606"/>
      <c r="C1449" s="1046"/>
      <c r="D1449" s="1048"/>
      <c r="E1449" s="1068"/>
      <c r="F1449" s="1044"/>
      <c r="G1449" s="1077">
        <f t="shared" si="22"/>
        <v>0</v>
      </c>
      <c r="H1449" s="1042" t="str">
        <f>IF(C1449="","",VLOOKUP(C1449,Compte!$A$3:$B$346,2,0))</f>
        <v/>
      </c>
      <c r="I1449" s="1043" t="str">
        <f>IF(D1449="","",VLOOKUP(D1449,Compte!$A$3:$B$346,2,0))</f>
        <v/>
      </c>
    </row>
    <row r="1450" spans="1:9">
      <c r="A1450" s="1206"/>
      <c r="B1450" s="606"/>
      <c r="C1450" s="1046"/>
      <c r="D1450" s="1048"/>
      <c r="E1450" s="1068"/>
      <c r="F1450" s="1044"/>
      <c r="G1450" s="1077">
        <f t="shared" si="22"/>
        <v>0</v>
      </c>
      <c r="H1450" s="1042" t="str">
        <f>IF(C1450="","",VLOOKUP(C1450,Compte!$A$3:$B$346,2,0))</f>
        <v/>
      </c>
      <c r="I1450" s="1043" t="str">
        <f>IF(D1450="","",VLOOKUP(D1450,Compte!$A$3:$B$346,2,0))</f>
        <v/>
      </c>
    </row>
    <row r="1451" spans="1:9">
      <c r="A1451" s="1206"/>
      <c r="B1451" s="606"/>
      <c r="C1451" s="1046"/>
      <c r="D1451" s="1048"/>
      <c r="E1451" s="1068"/>
      <c r="F1451" s="1044"/>
      <c r="G1451" s="1077">
        <f t="shared" si="22"/>
        <v>0</v>
      </c>
      <c r="H1451" s="1042" t="str">
        <f>IF(C1451="","",VLOOKUP(C1451,Compte!$A$3:$B$346,2,0))</f>
        <v/>
      </c>
      <c r="I1451" s="1043" t="str">
        <f>IF(D1451="","",VLOOKUP(D1451,Compte!$A$3:$B$346,2,0))</f>
        <v/>
      </c>
    </row>
    <row r="1452" spans="1:9">
      <c r="A1452" s="1206"/>
      <c r="B1452" s="606"/>
      <c r="C1452" s="1046"/>
      <c r="D1452" s="1048"/>
      <c r="E1452" s="1068"/>
      <c r="F1452" s="1044"/>
      <c r="G1452" s="1077">
        <f t="shared" si="22"/>
        <v>0</v>
      </c>
      <c r="H1452" s="1042" t="str">
        <f>IF(C1452="","",VLOOKUP(C1452,Compte!$A$3:$B$346,2,0))</f>
        <v/>
      </c>
      <c r="I1452" s="1043" t="str">
        <f>IF(D1452="","",VLOOKUP(D1452,Compte!$A$3:$B$346,2,0))</f>
        <v/>
      </c>
    </row>
    <row r="1453" spans="1:9">
      <c r="A1453" s="1206"/>
      <c r="B1453" s="606"/>
      <c r="C1453" s="1046"/>
      <c r="D1453" s="1048"/>
      <c r="E1453" s="1068"/>
      <c r="F1453" s="1044"/>
      <c r="G1453" s="1077">
        <f t="shared" si="22"/>
        <v>0</v>
      </c>
      <c r="H1453" s="1042" t="str">
        <f>IF(C1453="","",VLOOKUP(C1453,Compte!$A$3:$B$346,2,0))</f>
        <v/>
      </c>
      <c r="I1453" s="1043" t="str">
        <f>IF(D1453="","",VLOOKUP(D1453,Compte!$A$3:$B$346,2,0))</f>
        <v/>
      </c>
    </row>
    <row r="1454" spans="1:9">
      <c r="A1454" s="1206"/>
      <c r="B1454" s="606"/>
      <c r="C1454" s="1046"/>
      <c r="D1454" s="1048"/>
      <c r="E1454" s="1068"/>
      <c r="F1454" s="1044"/>
      <c r="G1454" s="1077">
        <f t="shared" si="22"/>
        <v>0</v>
      </c>
      <c r="H1454" s="1042" t="str">
        <f>IF(C1454="","",VLOOKUP(C1454,Compte!$A$3:$B$346,2,0))</f>
        <v/>
      </c>
      <c r="I1454" s="1043" t="str">
        <f>IF(D1454="","",VLOOKUP(D1454,Compte!$A$3:$B$346,2,0))</f>
        <v/>
      </c>
    </row>
    <row r="1455" spans="1:9">
      <c r="A1455" s="1206"/>
      <c r="B1455" s="606"/>
      <c r="C1455" s="1046"/>
      <c r="D1455" s="1048"/>
      <c r="E1455" s="1068"/>
      <c r="F1455" s="1044"/>
      <c r="G1455" s="1077">
        <f t="shared" si="22"/>
        <v>0</v>
      </c>
      <c r="H1455" s="1042" t="str">
        <f>IF(C1455="","",VLOOKUP(C1455,Compte!$A$3:$B$346,2,0))</f>
        <v/>
      </c>
      <c r="I1455" s="1043" t="str">
        <f>IF(D1455="","",VLOOKUP(D1455,Compte!$A$3:$B$346,2,0))</f>
        <v/>
      </c>
    </row>
    <row r="1456" spans="1:9">
      <c r="A1456" s="1206"/>
      <c r="B1456" s="606"/>
      <c r="C1456" s="1046"/>
      <c r="D1456" s="1048"/>
      <c r="E1456" s="1068"/>
      <c r="F1456" s="1044"/>
      <c r="G1456" s="1077">
        <f t="shared" si="22"/>
        <v>0</v>
      </c>
      <c r="H1456" s="1042" t="str">
        <f>IF(C1456="","",VLOOKUP(C1456,Compte!$A$3:$B$346,2,0))</f>
        <v/>
      </c>
      <c r="I1456" s="1043" t="str">
        <f>IF(D1456="","",VLOOKUP(D1456,Compte!$A$3:$B$346,2,0))</f>
        <v/>
      </c>
    </row>
    <row r="1457" spans="1:9">
      <c r="A1457" s="1206"/>
      <c r="B1457" s="606"/>
      <c r="C1457" s="1046"/>
      <c r="D1457" s="1048"/>
      <c r="E1457" s="1068"/>
      <c r="F1457" s="1044"/>
      <c r="G1457" s="1077">
        <f t="shared" si="22"/>
        <v>0</v>
      </c>
      <c r="H1457" s="1042" t="str">
        <f>IF(C1457="","",VLOOKUP(C1457,Compte!$A$3:$B$346,2,0))</f>
        <v/>
      </c>
      <c r="I1457" s="1043" t="str">
        <f>IF(D1457="","",VLOOKUP(D1457,Compte!$A$3:$B$346,2,0))</f>
        <v/>
      </c>
    </row>
    <row r="1458" spans="1:9">
      <c r="A1458" s="1206"/>
      <c r="B1458" s="606"/>
      <c r="C1458" s="1046"/>
      <c r="D1458" s="1048"/>
      <c r="E1458" s="1068"/>
      <c r="F1458" s="1044"/>
      <c r="G1458" s="1077">
        <f t="shared" si="22"/>
        <v>0</v>
      </c>
      <c r="H1458" s="1042" t="str">
        <f>IF(C1458="","",VLOOKUP(C1458,Compte!$A$3:$B$346,2,0))</f>
        <v/>
      </c>
      <c r="I1458" s="1043" t="str">
        <f>IF(D1458="","",VLOOKUP(D1458,Compte!$A$3:$B$346,2,0))</f>
        <v/>
      </c>
    </row>
    <row r="1459" spans="1:9">
      <c r="A1459" s="1206"/>
      <c r="B1459" s="606"/>
      <c r="C1459" s="1046"/>
      <c r="D1459" s="1048"/>
      <c r="E1459" s="1068"/>
      <c r="F1459" s="1044"/>
      <c r="G1459" s="1077">
        <f t="shared" si="22"/>
        <v>0</v>
      </c>
      <c r="H1459" s="1042" t="str">
        <f>IF(C1459="","",VLOOKUP(C1459,Compte!$A$3:$B$346,2,0))</f>
        <v/>
      </c>
      <c r="I1459" s="1043" t="str">
        <f>IF(D1459="","",VLOOKUP(D1459,Compte!$A$3:$B$346,2,0))</f>
        <v/>
      </c>
    </row>
    <row r="1460" spans="1:9">
      <c r="A1460" s="1206"/>
      <c r="B1460" s="606"/>
      <c r="C1460" s="1046"/>
      <c r="D1460" s="1048"/>
      <c r="E1460" s="1068"/>
      <c r="F1460" s="1044"/>
      <c r="G1460" s="1077">
        <f t="shared" si="22"/>
        <v>0</v>
      </c>
      <c r="H1460" s="1042" t="str">
        <f>IF(C1460="","",VLOOKUP(C1460,Compte!$A$3:$B$346,2,0))</f>
        <v/>
      </c>
      <c r="I1460" s="1043" t="str">
        <f>IF(D1460="","",VLOOKUP(D1460,Compte!$A$3:$B$346,2,0))</f>
        <v/>
      </c>
    </row>
    <row r="1461" spans="1:9">
      <c r="A1461" s="1206"/>
      <c r="B1461" s="606"/>
      <c r="C1461" s="1046"/>
      <c r="D1461" s="1048"/>
      <c r="E1461" s="1068"/>
      <c r="F1461" s="1044"/>
      <c r="G1461" s="1077">
        <f t="shared" si="22"/>
        <v>0</v>
      </c>
      <c r="H1461" s="1042" t="str">
        <f>IF(C1461="","",VLOOKUP(C1461,Compte!$A$3:$B$346,2,0))</f>
        <v/>
      </c>
      <c r="I1461" s="1043" t="str">
        <f>IF(D1461="","",VLOOKUP(D1461,Compte!$A$3:$B$346,2,0))</f>
        <v/>
      </c>
    </row>
    <row r="1462" spans="1:9">
      <c r="A1462" s="1206"/>
      <c r="B1462" s="606"/>
      <c r="C1462" s="1046"/>
      <c r="D1462" s="1048"/>
      <c r="E1462" s="1068"/>
      <c r="F1462" s="1044"/>
      <c r="G1462" s="1077">
        <f t="shared" si="22"/>
        <v>0</v>
      </c>
      <c r="H1462" s="1042" t="str">
        <f>IF(C1462="","",VLOOKUP(C1462,Compte!$A$3:$B$346,2,0))</f>
        <v/>
      </c>
      <c r="I1462" s="1043" t="str">
        <f>IF(D1462="","",VLOOKUP(D1462,Compte!$A$3:$B$346,2,0))</f>
        <v/>
      </c>
    </row>
    <row r="1463" spans="1:9">
      <c r="A1463" s="1206"/>
      <c r="B1463" s="606"/>
      <c r="C1463" s="1046"/>
      <c r="D1463" s="1048"/>
      <c r="E1463" s="1068"/>
      <c r="F1463" s="1044"/>
      <c r="G1463" s="1077">
        <f t="shared" si="22"/>
        <v>0</v>
      </c>
      <c r="H1463" s="1042" t="str">
        <f>IF(C1463="","",VLOOKUP(C1463,Compte!$A$3:$B$346,2,0))</f>
        <v/>
      </c>
      <c r="I1463" s="1043" t="str">
        <f>IF(D1463="","",VLOOKUP(D1463,Compte!$A$3:$B$346,2,0))</f>
        <v/>
      </c>
    </row>
    <row r="1464" spans="1:9">
      <c r="A1464" s="1206"/>
      <c r="B1464" s="606"/>
      <c r="C1464" s="1046"/>
      <c r="D1464" s="1048"/>
      <c r="E1464" s="1068"/>
      <c r="F1464" s="1044"/>
      <c r="G1464" s="1077">
        <f t="shared" si="22"/>
        <v>0</v>
      </c>
      <c r="H1464" s="1042" t="str">
        <f>IF(C1464="","",VLOOKUP(C1464,Compte!$A$3:$B$346,2,0))</f>
        <v/>
      </c>
      <c r="I1464" s="1043" t="str">
        <f>IF(D1464="","",VLOOKUP(D1464,Compte!$A$3:$B$346,2,0))</f>
        <v/>
      </c>
    </row>
    <row r="1465" spans="1:9">
      <c r="A1465" s="1206"/>
      <c r="B1465" s="606"/>
      <c r="C1465" s="1046"/>
      <c r="D1465" s="1048"/>
      <c r="E1465" s="1068"/>
      <c r="F1465" s="1044"/>
      <c r="G1465" s="1077">
        <f t="shared" si="22"/>
        <v>0</v>
      </c>
      <c r="H1465" s="1042" t="str">
        <f>IF(C1465="","",VLOOKUP(C1465,Compte!$A$3:$B$346,2,0))</f>
        <v/>
      </c>
      <c r="I1465" s="1043" t="str">
        <f>IF(D1465="","",VLOOKUP(D1465,Compte!$A$3:$B$346,2,0))</f>
        <v/>
      </c>
    </row>
    <row r="1466" spans="1:9">
      <c r="A1466" s="1206"/>
      <c r="B1466" s="606"/>
      <c r="C1466" s="1046"/>
      <c r="D1466" s="1048"/>
      <c r="E1466" s="1068"/>
      <c r="F1466" s="1044"/>
      <c r="G1466" s="1077">
        <f t="shared" si="22"/>
        <v>0</v>
      </c>
      <c r="H1466" s="1042" t="str">
        <f>IF(C1466="","",VLOOKUP(C1466,Compte!$A$3:$B$346,2,0))</f>
        <v/>
      </c>
      <c r="I1466" s="1043" t="str">
        <f>IF(D1466="","",VLOOKUP(D1466,Compte!$A$3:$B$346,2,0))</f>
        <v/>
      </c>
    </row>
    <row r="1467" spans="1:9">
      <c r="A1467" s="1206"/>
      <c r="B1467" s="606"/>
      <c r="C1467" s="1046"/>
      <c r="D1467" s="1048"/>
      <c r="E1467" s="1068"/>
      <c r="F1467" s="1044"/>
      <c r="G1467" s="1077">
        <f t="shared" si="22"/>
        <v>0</v>
      </c>
      <c r="H1467" s="1042" t="str">
        <f>IF(C1467="","",VLOOKUP(C1467,Compte!$A$3:$B$346,2,0))</f>
        <v/>
      </c>
      <c r="I1467" s="1043" t="str">
        <f>IF(D1467="","",VLOOKUP(D1467,Compte!$A$3:$B$346,2,0))</f>
        <v/>
      </c>
    </row>
    <row r="1468" spans="1:9">
      <c r="A1468" s="1206"/>
      <c r="B1468" s="606"/>
      <c r="C1468" s="1046"/>
      <c r="D1468" s="1048"/>
      <c r="E1468" s="1068"/>
      <c r="F1468" s="1044"/>
      <c r="G1468" s="1077">
        <f t="shared" si="22"/>
        <v>0</v>
      </c>
      <c r="H1468" s="1042" t="str">
        <f>IF(C1468="","",VLOOKUP(C1468,Compte!$A$3:$B$346,2,0))</f>
        <v/>
      </c>
      <c r="I1468" s="1043" t="str">
        <f>IF(D1468="","",VLOOKUP(D1468,Compte!$A$3:$B$346,2,0))</f>
        <v/>
      </c>
    </row>
    <row r="1469" spans="1:9">
      <c r="A1469" s="1206"/>
      <c r="B1469" s="606"/>
      <c r="C1469" s="1046"/>
      <c r="D1469" s="1048"/>
      <c r="E1469" s="1068"/>
      <c r="F1469" s="1044"/>
      <c r="G1469" s="1077">
        <f t="shared" si="22"/>
        <v>0</v>
      </c>
      <c r="H1469" s="1042" t="str">
        <f>IF(C1469="","",VLOOKUP(C1469,Compte!$A$3:$B$346,2,0))</f>
        <v/>
      </c>
      <c r="I1469" s="1043" t="str">
        <f>IF(D1469="","",VLOOKUP(D1469,Compte!$A$3:$B$346,2,0))</f>
        <v/>
      </c>
    </row>
    <row r="1470" spans="1:9">
      <c r="A1470" s="1206"/>
      <c r="B1470" s="606"/>
      <c r="C1470" s="1046"/>
      <c r="D1470" s="1048"/>
      <c r="E1470" s="1068"/>
      <c r="F1470" s="1044"/>
      <c r="G1470" s="1077">
        <f t="shared" si="22"/>
        <v>0</v>
      </c>
      <c r="H1470" s="1042" t="str">
        <f>IF(C1470="","",VLOOKUP(C1470,Compte!$A$3:$B$346,2,0))</f>
        <v/>
      </c>
      <c r="I1470" s="1043" t="str">
        <f>IF(D1470="","",VLOOKUP(D1470,Compte!$A$3:$B$346,2,0))</f>
        <v/>
      </c>
    </row>
    <row r="1471" spans="1:9">
      <c r="A1471" s="1206"/>
      <c r="B1471" s="606"/>
      <c r="C1471" s="1046"/>
      <c r="D1471" s="1048"/>
      <c r="E1471" s="1068"/>
      <c r="F1471" s="1044"/>
      <c r="G1471" s="1077">
        <f t="shared" si="22"/>
        <v>0</v>
      </c>
      <c r="H1471" s="1042" t="str">
        <f>IF(C1471="","",VLOOKUP(C1471,Compte!$A$3:$B$346,2,0))</f>
        <v/>
      </c>
      <c r="I1471" s="1043" t="str">
        <f>IF(D1471="","",VLOOKUP(D1471,Compte!$A$3:$B$346,2,0))</f>
        <v/>
      </c>
    </row>
    <row r="1472" spans="1:9">
      <c r="A1472" s="1206"/>
      <c r="B1472" s="606"/>
      <c r="C1472" s="1046"/>
      <c r="D1472" s="1048"/>
      <c r="E1472" s="1068"/>
      <c r="F1472" s="1044"/>
      <c r="G1472" s="1077">
        <f t="shared" si="22"/>
        <v>0</v>
      </c>
      <c r="H1472" s="1042" t="str">
        <f>IF(C1472="","",VLOOKUP(C1472,Compte!$A$3:$B$346,2,0))</f>
        <v/>
      </c>
      <c r="I1472" s="1043" t="str">
        <f>IF(D1472="","",VLOOKUP(D1472,Compte!$A$3:$B$346,2,0))</f>
        <v/>
      </c>
    </row>
    <row r="1473" spans="1:9">
      <c r="A1473" s="1206"/>
      <c r="B1473" s="606"/>
      <c r="C1473" s="1046"/>
      <c r="D1473" s="1048"/>
      <c r="E1473" s="1068"/>
      <c r="F1473" s="1044"/>
      <c r="G1473" s="1077">
        <f t="shared" si="22"/>
        <v>0</v>
      </c>
      <c r="H1473" s="1042" t="str">
        <f>IF(C1473="","",VLOOKUP(C1473,Compte!$A$3:$B$346,2,0))</f>
        <v/>
      </c>
      <c r="I1473" s="1043" t="str">
        <f>IF(D1473="","",VLOOKUP(D1473,Compte!$A$3:$B$346,2,0))</f>
        <v/>
      </c>
    </row>
    <row r="1474" spans="1:9">
      <c r="A1474" s="1206"/>
      <c r="B1474" s="606"/>
      <c r="C1474" s="1046"/>
      <c r="D1474" s="1048"/>
      <c r="E1474" s="1068"/>
      <c r="F1474" s="1044"/>
      <c r="G1474" s="1077">
        <f t="shared" si="22"/>
        <v>0</v>
      </c>
      <c r="H1474" s="1042" t="str">
        <f>IF(C1474="","",VLOOKUP(C1474,Compte!$A$3:$B$346,2,0))</f>
        <v/>
      </c>
      <c r="I1474" s="1043" t="str">
        <f>IF(D1474="","",VLOOKUP(D1474,Compte!$A$3:$B$346,2,0))</f>
        <v/>
      </c>
    </row>
    <row r="1475" spans="1:9">
      <c r="A1475" s="1206"/>
      <c r="B1475" s="606"/>
      <c r="C1475" s="1046"/>
      <c r="D1475" s="1048"/>
      <c r="E1475" s="1068"/>
      <c r="F1475" s="1044"/>
      <c r="G1475" s="1077">
        <f t="shared" si="22"/>
        <v>0</v>
      </c>
      <c r="H1475" s="1042" t="str">
        <f>IF(C1475="","",VLOOKUP(C1475,Compte!$A$3:$B$346,2,0))</f>
        <v/>
      </c>
      <c r="I1475" s="1043" t="str">
        <f>IF(D1475="","",VLOOKUP(D1475,Compte!$A$3:$B$346,2,0))</f>
        <v/>
      </c>
    </row>
    <row r="1476" spans="1:9">
      <c r="A1476" s="1206"/>
      <c r="B1476" s="606"/>
      <c r="C1476" s="1046"/>
      <c r="D1476" s="1048"/>
      <c r="E1476" s="1068"/>
      <c r="F1476" s="1044"/>
      <c r="G1476" s="1077">
        <f t="shared" si="22"/>
        <v>0</v>
      </c>
      <c r="H1476" s="1042" t="str">
        <f>IF(C1476="","",VLOOKUP(C1476,Compte!$A$3:$B$346,2,0))</f>
        <v/>
      </c>
      <c r="I1476" s="1043" t="str">
        <f>IF(D1476="","",VLOOKUP(D1476,Compte!$A$3:$B$346,2,0))</f>
        <v/>
      </c>
    </row>
    <row r="1477" spans="1:9">
      <c r="A1477" s="1206"/>
      <c r="B1477" s="606"/>
      <c r="C1477" s="1046"/>
      <c r="D1477" s="1048"/>
      <c r="E1477" s="1068"/>
      <c r="F1477" s="1044"/>
      <c r="G1477" s="1077">
        <f t="shared" si="22"/>
        <v>0</v>
      </c>
      <c r="H1477" s="1042" t="str">
        <f>IF(C1477="","",VLOOKUP(C1477,Compte!$A$3:$B$346,2,0))</f>
        <v/>
      </c>
      <c r="I1477" s="1043" t="str">
        <f>IF(D1477="","",VLOOKUP(D1477,Compte!$A$3:$B$346,2,0))</f>
        <v/>
      </c>
    </row>
    <row r="1478" spans="1:9">
      <c r="A1478" s="1206"/>
      <c r="B1478" s="606"/>
      <c r="C1478" s="1046"/>
      <c r="D1478" s="1048"/>
      <c r="E1478" s="1068"/>
      <c r="F1478" s="1044"/>
      <c r="G1478" s="1077">
        <f t="shared" si="22"/>
        <v>0</v>
      </c>
      <c r="H1478" s="1042" t="str">
        <f>IF(C1478="","",VLOOKUP(C1478,Compte!$A$3:$B$346,2,0))</f>
        <v/>
      </c>
      <c r="I1478" s="1043" t="str">
        <f>IF(D1478="","",VLOOKUP(D1478,Compte!$A$3:$B$346,2,0))</f>
        <v/>
      </c>
    </row>
    <row r="1479" spans="1:9">
      <c r="A1479" s="1206"/>
      <c r="B1479" s="606"/>
      <c r="C1479" s="1046"/>
      <c r="D1479" s="1048"/>
      <c r="E1479" s="1068"/>
      <c r="F1479" s="1044"/>
      <c r="G1479" s="1077">
        <f t="shared" si="22"/>
        <v>0</v>
      </c>
      <c r="H1479" s="1042" t="str">
        <f>IF(C1479="","",VLOOKUP(C1479,Compte!$A$3:$B$346,2,0))</f>
        <v/>
      </c>
      <c r="I1479" s="1043" t="str">
        <f>IF(D1479="","",VLOOKUP(D1479,Compte!$A$3:$B$346,2,0))</f>
        <v/>
      </c>
    </row>
    <row r="1480" spans="1:9">
      <c r="A1480" s="1206"/>
      <c r="B1480" s="606"/>
      <c r="C1480" s="1046"/>
      <c r="D1480" s="1048"/>
      <c r="E1480" s="1068"/>
      <c r="F1480" s="1044"/>
      <c r="G1480" s="1077">
        <f t="shared" ref="G1480:G1543" si="23">IF(C1480="",F1480,E1480)</f>
        <v>0</v>
      </c>
      <c r="H1480" s="1042" t="str">
        <f>IF(C1480="","",VLOOKUP(C1480,Compte!$A$3:$B$346,2,0))</f>
        <v/>
      </c>
      <c r="I1480" s="1043" t="str">
        <f>IF(D1480="","",VLOOKUP(D1480,Compte!$A$3:$B$346,2,0))</f>
        <v/>
      </c>
    </row>
    <row r="1481" spans="1:9">
      <c r="A1481" s="1206"/>
      <c r="B1481" s="606"/>
      <c r="C1481" s="1046"/>
      <c r="D1481" s="1048"/>
      <c r="E1481" s="1068"/>
      <c r="F1481" s="1044"/>
      <c r="G1481" s="1077">
        <f t="shared" si="23"/>
        <v>0</v>
      </c>
      <c r="H1481" s="1042" t="str">
        <f>IF(C1481="","",VLOOKUP(C1481,Compte!$A$3:$B$346,2,0))</f>
        <v/>
      </c>
      <c r="I1481" s="1043" t="str">
        <f>IF(D1481="","",VLOOKUP(D1481,Compte!$A$3:$B$346,2,0))</f>
        <v/>
      </c>
    </row>
    <row r="1482" spans="1:9">
      <c r="A1482" s="1206"/>
      <c r="B1482" s="606"/>
      <c r="C1482" s="1046"/>
      <c r="D1482" s="1048"/>
      <c r="E1482" s="1068"/>
      <c r="F1482" s="1044"/>
      <c r="G1482" s="1077">
        <f t="shared" si="23"/>
        <v>0</v>
      </c>
      <c r="H1482" s="1042" t="str">
        <f>IF(C1482="","",VLOOKUP(C1482,Compte!$A$3:$B$346,2,0))</f>
        <v/>
      </c>
      <c r="I1482" s="1043" t="str">
        <f>IF(D1482="","",VLOOKUP(D1482,Compte!$A$3:$B$346,2,0))</f>
        <v/>
      </c>
    </row>
    <row r="1483" spans="1:9">
      <c r="A1483" s="1206"/>
      <c r="B1483" s="606"/>
      <c r="C1483" s="1046"/>
      <c r="D1483" s="1048"/>
      <c r="E1483" s="1068"/>
      <c r="F1483" s="1044"/>
      <c r="G1483" s="1077">
        <f t="shared" si="23"/>
        <v>0</v>
      </c>
      <c r="H1483" s="1042" t="str">
        <f>IF(C1483="","",VLOOKUP(C1483,Compte!$A$3:$B$346,2,0))</f>
        <v/>
      </c>
      <c r="I1483" s="1043" t="str">
        <f>IF(D1483="","",VLOOKUP(D1483,Compte!$A$3:$B$346,2,0))</f>
        <v/>
      </c>
    </row>
    <row r="1484" spans="1:9">
      <c r="A1484" s="1206"/>
      <c r="B1484" s="606"/>
      <c r="C1484" s="1046"/>
      <c r="D1484" s="1048"/>
      <c r="E1484" s="1068"/>
      <c r="F1484" s="1044"/>
      <c r="G1484" s="1077">
        <f t="shared" si="23"/>
        <v>0</v>
      </c>
      <c r="H1484" s="1042" t="str">
        <f>IF(C1484="","",VLOOKUP(C1484,Compte!$A$3:$B$346,2,0))</f>
        <v/>
      </c>
      <c r="I1484" s="1043" t="str">
        <f>IF(D1484="","",VLOOKUP(D1484,Compte!$A$3:$B$346,2,0))</f>
        <v/>
      </c>
    </row>
    <row r="1485" spans="1:9">
      <c r="A1485" s="1206"/>
      <c r="B1485" s="606"/>
      <c r="C1485" s="1046"/>
      <c r="D1485" s="1048"/>
      <c r="E1485" s="1068"/>
      <c r="F1485" s="1044"/>
      <c r="G1485" s="1077">
        <f t="shared" si="23"/>
        <v>0</v>
      </c>
      <c r="H1485" s="1042" t="str">
        <f>IF(C1485="","",VLOOKUP(C1485,Compte!$A$3:$B$346,2,0))</f>
        <v/>
      </c>
      <c r="I1485" s="1043" t="str">
        <f>IF(D1485="","",VLOOKUP(D1485,Compte!$A$3:$B$346,2,0))</f>
        <v/>
      </c>
    </row>
    <row r="1486" spans="1:9">
      <c r="A1486" s="1206"/>
      <c r="B1486" s="606"/>
      <c r="C1486" s="1046"/>
      <c r="D1486" s="1048"/>
      <c r="E1486" s="1068"/>
      <c r="F1486" s="1044"/>
      <c r="G1486" s="1077">
        <f t="shared" si="23"/>
        <v>0</v>
      </c>
      <c r="H1486" s="1042" t="str">
        <f>IF(C1486="","",VLOOKUP(C1486,Compte!$A$3:$B$346,2,0))</f>
        <v/>
      </c>
      <c r="I1486" s="1043" t="str">
        <f>IF(D1486="","",VLOOKUP(D1486,Compte!$A$3:$B$346,2,0))</f>
        <v/>
      </c>
    </row>
    <row r="1487" spans="1:9">
      <c r="A1487" s="1206"/>
      <c r="B1487" s="606"/>
      <c r="C1487" s="1046"/>
      <c r="D1487" s="1048"/>
      <c r="E1487" s="1068"/>
      <c r="F1487" s="1044"/>
      <c r="G1487" s="1077">
        <f t="shared" si="23"/>
        <v>0</v>
      </c>
      <c r="H1487" s="1042" t="str">
        <f>IF(C1487="","",VLOOKUP(C1487,Compte!$A$3:$B$346,2,0))</f>
        <v/>
      </c>
      <c r="I1487" s="1043" t="str">
        <f>IF(D1487="","",VLOOKUP(D1487,Compte!$A$3:$B$346,2,0))</f>
        <v/>
      </c>
    </row>
    <row r="1488" spans="1:9">
      <c r="A1488" s="1206"/>
      <c r="B1488" s="606"/>
      <c r="C1488" s="1046"/>
      <c r="D1488" s="1048"/>
      <c r="E1488" s="1068"/>
      <c r="F1488" s="1044"/>
      <c r="G1488" s="1077">
        <f t="shared" si="23"/>
        <v>0</v>
      </c>
      <c r="H1488" s="1042" t="str">
        <f>IF(C1488="","",VLOOKUP(C1488,Compte!$A$3:$B$346,2,0))</f>
        <v/>
      </c>
      <c r="I1488" s="1043" t="str">
        <f>IF(D1488="","",VLOOKUP(D1488,Compte!$A$3:$B$346,2,0))</f>
        <v/>
      </c>
    </row>
    <row r="1489" spans="1:9">
      <c r="A1489" s="1206"/>
      <c r="B1489" s="606"/>
      <c r="C1489" s="1046"/>
      <c r="D1489" s="1048"/>
      <c r="E1489" s="1068"/>
      <c r="F1489" s="1044"/>
      <c r="G1489" s="1077">
        <f t="shared" si="23"/>
        <v>0</v>
      </c>
      <c r="H1489" s="1042" t="str">
        <f>IF(C1489="","",VLOOKUP(C1489,Compte!$A$3:$B$346,2,0))</f>
        <v/>
      </c>
      <c r="I1489" s="1043" t="str">
        <f>IF(D1489="","",VLOOKUP(D1489,Compte!$A$3:$B$346,2,0))</f>
        <v/>
      </c>
    </row>
    <row r="1490" spans="1:9">
      <c r="A1490" s="1206"/>
      <c r="B1490" s="606"/>
      <c r="C1490" s="1046"/>
      <c r="D1490" s="1048"/>
      <c r="E1490" s="1068"/>
      <c r="F1490" s="1044"/>
      <c r="G1490" s="1077">
        <f t="shared" si="23"/>
        <v>0</v>
      </c>
      <c r="H1490" s="1042" t="str">
        <f>IF(C1490="","",VLOOKUP(C1490,Compte!$A$3:$B$346,2,0))</f>
        <v/>
      </c>
      <c r="I1490" s="1043" t="str">
        <f>IF(D1490="","",VLOOKUP(D1490,Compte!$A$3:$B$346,2,0))</f>
        <v/>
      </c>
    </row>
    <row r="1491" spans="1:9">
      <c r="A1491" s="1206"/>
      <c r="B1491" s="606"/>
      <c r="C1491" s="1046"/>
      <c r="D1491" s="1048"/>
      <c r="E1491" s="1068"/>
      <c r="F1491" s="1044"/>
      <c r="G1491" s="1077">
        <f t="shared" si="23"/>
        <v>0</v>
      </c>
      <c r="H1491" s="1042" t="str">
        <f>IF(C1491="","",VLOOKUP(C1491,Compte!$A$3:$B$346,2,0))</f>
        <v/>
      </c>
      <c r="I1491" s="1043" t="str">
        <f>IF(D1491="","",VLOOKUP(D1491,Compte!$A$3:$B$346,2,0))</f>
        <v/>
      </c>
    </row>
    <row r="1492" spans="1:9">
      <c r="A1492" s="1206"/>
      <c r="B1492" s="606"/>
      <c r="C1492" s="1046"/>
      <c r="D1492" s="1048"/>
      <c r="E1492" s="1068"/>
      <c r="F1492" s="1044"/>
      <c r="G1492" s="1077">
        <f t="shared" si="23"/>
        <v>0</v>
      </c>
      <c r="H1492" s="1042" t="str">
        <f>IF(C1492="","",VLOOKUP(C1492,Compte!$A$3:$B$346,2,0))</f>
        <v/>
      </c>
      <c r="I1492" s="1043" t="str">
        <f>IF(D1492="","",VLOOKUP(D1492,Compte!$A$3:$B$346,2,0))</f>
        <v/>
      </c>
    </row>
    <row r="1493" spans="1:9">
      <c r="A1493" s="1206"/>
      <c r="B1493" s="606"/>
      <c r="C1493" s="1046"/>
      <c r="D1493" s="1048"/>
      <c r="E1493" s="1068"/>
      <c r="F1493" s="1044"/>
      <c r="G1493" s="1077">
        <f t="shared" si="23"/>
        <v>0</v>
      </c>
      <c r="H1493" s="1042" t="str">
        <f>IF(C1493="","",VLOOKUP(C1493,Compte!$A$3:$B$346,2,0))</f>
        <v/>
      </c>
      <c r="I1493" s="1043" t="str">
        <f>IF(D1493="","",VLOOKUP(D1493,Compte!$A$3:$B$346,2,0))</f>
        <v/>
      </c>
    </row>
    <row r="1494" spans="1:9">
      <c r="A1494" s="1206"/>
      <c r="B1494" s="606"/>
      <c r="C1494" s="1046"/>
      <c r="D1494" s="1048"/>
      <c r="E1494" s="1068"/>
      <c r="F1494" s="1044"/>
      <c r="G1494" s="1077">
        <f t="shared" si="23"/>
        <v>0</v>
      </c>
      <c r="H1494" s="1042" t="str">
        <f>IF(C1494="","",VLOOKUP(C1494,Compte!$A$3:$B$346,2,0))</f>
        <v/>
      </c>
      <c r="I1494" s="1043" t="str">
        <f>IF(D1494="","",VLOOKUP(D1494,Compte!$A$3:$B$346,2,0))</f>
        <v/>
      </c>
    </row>
    <row r="1495" spans="1:9">
      <c r="A1495" s="1206"/>
      <c r="B1495" s="606"/>
      <c r="C1495" s="1046"/>
      <c r="D1495" s="1048"/>
      <c r="E1495" s="1068"/>
      <c r="F1495" s="1044"/>
      <c r="G1495" s="1077">
        <f t="shared" si="23"/>
        <v>0</v>
      </c>
      <c r="H1495" s="1042" t="str">
        <f>IF(C1495="","",VLOOKUP(C1495,Compte!$A$3:$B$346,2,0))</f>
        <v/>
      </c>
      <c r="I1495" s="1043" t="str">
        <f>IF(D1495="","",VLOOKUP(D1495,Compte!$A$3:$B$346,2,0))</f>
        <v/>
      </c>
    </row>
    <row r="1496" spans="1:9">
      <c r="A1496" s="1206"/>
      <c r="B1496" s="606"/>
      <c r="C1496" s="1046"/>
      <c r="D1496" s="1048"/>
      <c r="E1496" s="1068"/>
      <c r="F1496" s="1044"/>
      <c r="G1496" s="1077">
        <f t="shared" si="23"/>
        <v>0</v>
      </c>
      <c r="H1496" s="1042" t="str">
        <f>IF(C1496="","",VLOOKUP(C1496,Compte!$A$3:$B$346,2,0))</f>
        <v/>
      </c>
      <c r="I1496" s="1043" t="str">
        <f>IF(D1496="","",VLOOKUP(D1496,Compte!$A$3:$B$346,2,0))</f>
        <v/>
      </c>
    </row>
    <row r="1497" spans="1:9">
      <c r="A1497" s="1206"/>
      <c r="B1497" s="606"/>
      <c r="C1497" s="1046"/>
      <c r="D1497" s="1048"/>
      <c r="E1497" s="1068"/>
      <c r="F1497" s="1044"/>
      <c r="G1497" s="1077">
        <f t="shared" si="23"/>
        <v>0</v>
      </c>
      <c r="H1497" s="1042" t="str">
        <f>IF(C1497="","",VLOOKUP(C1497,Compte!$A$3:$B$346,2,0))</f>
        <v/>
      </c>
      <c r="I1497" s="1043" t="str">
        <f>IF(D1497="","",VLOOKUP(D1497,Compte!$A$3:$B$346,2,0))</f>
        <v/>
      </c>
    </row>
    <row r="1498" spans="1:9">
      <c r="A1498" s="1206"/>
      <c r="B1498" s="606"/>
      <c r="C1498" s="1046"/>
      <c r="D1498" s="1048"/>
      <c r="E1498" s="1068"/>
      <c r="F1498" s="1044"/>
      <c r="G1498" s="1077">
        <f t="shared" si="23"/>
        <v>0</v>
      </c>
      <c r="H1498" s="1042" t="str">
        <f>IF(C1498="","",VLOOKUP(C1498,Compte!$A$3:$B$346,2,0))</f>
        <v/>
      </c>
      <c r="I1498" s="1043" t="str">
        <f>IF(D1498="","",VLOOKUP(D1498,Compte!$A$3:$B$346,2,0))</f>
        <v/>
      </c>
    </row>
    <row r="1499" spans="1:9">
      <c r="A1499" s="1206"/>
      <c r="B1499" s="606"/>
      <c r="C1499" s="1046"/>
      <c r="D1499" s="1048"/>
      <c r="E1499" s="1068"/>
      <c r="F1499" s="1044"/>
      <c r="G1499" s="1077">
        <f t="shared" si="23"/>
        <v>0</v>
      </c>
      <c r="H1499" s="1042" t="str">
        <f>IF(C1499="","",VLOOKUP(C1499,Compte!$A$3:$B$346,2,0))</f>
        <v/>
      </c>
      <c r="I1499" s="1043" t="str">
        <f>IF(D1499="","",VLOOKUP(D1499,Compte!$A$3:$B$346,2,0))</f>
        <v/>
      </c>
    </row>
    <row r="1500" spans="1:9">
      <c r="A1500" s="1206"/>
      <c r="B1500" s="606"/>
      <c r="C1500" s="1046"/>
      <c r="D1500" s="1048"/>
      <c r="E1500" s="1068"/>
      <c r="F1500" s="1044"/>
      <c r="G1500" s="1077">
        <f t="shared" si="23"/>
        <v>0</v>
      </c>
      <c r="H1500" s="1042" t="str">
        <f>IF(C1500="","",VLOOKUP(C1500,Compte!$A$3:$B$346,2,0))</f>
        <v/>
      </c>
      <c r="I1500" s="1043" t="str">
        <f>IF(D1500="","",VLOOKUP(D1500,Compte!$A$3:$B$346,2,0))</f>
        <v/>
      </c>
    </row>
    <row r="1501" spans="1:9">
      <c r="A1501" s="1206"/>
      <c r="B1501" s="606"/>
      <c r="C1501" s="1046"/>
      <c r="D1501" s="1048"/>
      <c r="E1501" s="1068"/>
      <c r="F1501" s="1044"/>
      <c r="G1501" s="1077">
        <f t="shared" si="23"/>
        <v>0</v>
      </c>
      <c r="H1501" s="1042" t="str">
        <f>IF(C1501="","",VLOOKUP(C1501,Compte!$A$3:$B$346,2,0))</f>
        <v/>
      </c>
      <c r="I1501" s="1043" t="str">
        <f>IF(D1501="","",VLOOKUP(D1501,Compte!$A$3:$B$346,2,0))</f>
        <v/>
      </c>
    </row>
    <row r="1502" spans="1:9">
      <c r="A1502" s="1206"/>
      <c r="B1502" s="606"/>
      <c r="C1502" s="1046"/>
      <c r="D1502" s="1048"/>
      <c r="E1502" s="1068"/>
      <c r="F1502" s="1044"/>
      <c r="G1502" s="1077">
        <f t="shared" si="23"/>
        <v>0</v>
      </c>
      <c r="H1502" s="1042" t="str">
        <f>IF(C1502="","",VLOOKUP(C1502,Compte!$A$3:$B$346,2,0))</f>
        <v/>
      </c>
      <c r="I1502" s="1043" t="str">
        <f>IF(D1502="","",VLOOKUP(D1502,Compte!$A$3:$B$346,2,0))</f>
        <v/>
      </c>
    </row>
    <row r="1503" spans="1:9">
      <c r="A1503" s="1206"/>
      <c r="B1503" s="606"/>
      <c r="C1503" s="1046"/>
      <c r="D1503" s="1048"/>
      <c r="E1503" s="1068"/>
      <c r="F1503" s="1044"/>
      <c r="G1503" s="1077">
        <f t="shared" si="23"/>
        <v>0</v>
      </c>
      <c r="H1503" s="1042" t="str">
        <f>IF(C1503="","",VLOOKUP(C1503,Compte!$A$3:$B$346,2,0))</f>
        <v/>
      </c>
      <c r="I1503" s="1043" t="str">
        <f>IF(D1503="","",VLOOKUP(D1503,Compte!$A$3:$B$346,2,0))</f>
        <v/>
      </c>
    </row>
    <row r="1504" spans="1:9">
      <c r="A1504" s="1206"/>
      <c r="B1504" s="606"/>
      <c r="C1504" s="1046"/>
      <c r="D1504" s="1048"/>
      <c r="E1504" s="1068"/>
      <c r="F1504" s="1044"/>
      <c r="G1504" s="1077">
        <f t="shared" si="23"/>
        <v>0</v>
      </c>
      <c r="H1504" s="1042" t="str">
        <f>IF(C1504="","",VLOOKUP(C1504,Compte!$A$3:$B$346,2,0))</f>
        <v/>
      </c>
      <c r="I1504" s="1043" t="str">
        <f>IF(D1504="","",VLOOKUP(D1504,Compte!$A$3:$B$346,2,0))</f>
        <v/>
      </c>
    </row>
    <row r="1505" spans="1:9">
      <c r="A1505" s="1206"/>
      <c r="B1505" s="606"/>
      <c r="C1505" s="1046"/>
      <c r="D1505" s="1048"/>
      <c r="E1505" s="1068"/>
      <c r="F1505" s="1044"/>
      <c r="G1505" s="1077">
        <f t="shared" si="23"/>
        <v>0</v>
      </c>
      <c r="H1505" s="1042" t="str">
        <f>IF(C1505="","",VLOOKUP(C1505,Compte!$A$3:$B$346,2,0))</f>
        <v/>
      </c>
      <c r="I1505" s="1043" t="str">
        <f>IF(D1505="","",VLOOKUP(D1505,Compte!$A$3:$B$346,2,0))</f>
        <v/>
      </c>
    </row>
    <row r="1506" spans="1:9">
      <c r="A1506" s="1206"/>
      <c r="B1506" s="606"/>
      <c r="C1506" s="1046"/>
      <c r="D1506" s="1048"/>
      <c r="E1506" s="1068"/>
      <c r="F1506" s="1044"/>
      <c r="G1506" s="1077">
        <f t="shared" si="23"/>
        <v>0</v>
      </c>
      <c r="H1506" s="1042" t="str">
        <f>IF(C1506="","",VLOOKUP(C1506,Compte!$A$3:$B$346,2,0))</f>
        <v/>
      </c>
      <c r="I1506" s="1043" t="str">
        <f>IF(D1506="","",VLOOKUP(D1506,Compte!$A$3:$B$346,2,0))</f>
        <v/>
      </c>
    </row>
    <row r="1507" spans="1:9">
      <c r="A1507" s="1206"/>
      <c r="B1507" s="606"/>
      <c r="C1507" s="1046"/>
      <c r="D1507" s="1048"/>
      <c r="E1507" s="1068"/>
      <c r="F1507" s="1044"/>
      <c r="G1507" s="1077">
        <f t="shared" si="23"/>
        <v>0</v>
      </c>
      <c r="H1507" s="1042" t="str">
        <f>IF(C1507="","",VLOOKUP(C1507,Compte!$A$3:$B$346,2,0))</f>
        <v/>
      </c>
      <c r="I1507" s="1043" t="str">
        <f>IF(D1507="","",VLOOKUP(D1507,Compte!$A$3:$B$346,2,0))</f>
        <v/>
      </c>
    </row>
    <row r="1508" spans="1:9">
      <c r="A1508" s="1206"/>
      <c r="B1508" s="606"/>
      <c r="C1508" s="1046"/>
      <c r="D1508" s="1048"/>
      <c r="E1508" s="1068"/>
      <c r="F1508" s="1044"/>
      <c r="G1508" s="1077">
        <f t="shared" si="23"/>
        <v>0</v>
      </c>
      <c r="H1508" s="1042" t="str">
        <f>IF(C1508="","",VLOOKUP(C1508,Compte!$A$3:$B$346,2,0))</f>
        <v/>
      </c>
      <c r="I1508" s="1043" t="str">
        <f>IF(D1508="","",VLOOKUP(D1508,Compte!$A$3:$B$346,2,0))</f>
        <v/>
      </c>
    </row>
    <row r="1509" spans="1:9">
      <c r="A1509" s="1206"/>
      <c r="B1509" s="606"/>
      <c r="C1509" s="1046"/>
      <c r="D1509" s="1048"/>
      <c r="E1509" s="1068"/>
      <c r="F1509" s="1044"/>
      <c r="G1509" s="1077">
        <f t="shared" si="23"/>
        <v>0</v>
      </c>
      <c r="H1509" s="1042" t="str">
        <f>IF(C1509="","",VLOOKUP(C1509,Compte!$A$3:$B$346,2,0))</f>
        <v/>
      </c>
      <c r="I1509" s="1043" t="str">
        <f>IF(D1509="","",VLOOKUP(D1509,Compte!$A$3:$B$346,2,0))</f>
        <v/>
      </c>
    </row>
    <row r="1510" spans="1:9">
      <c r="A1510" s="1206"/>
      <c r="B1510" s="606"/>
      <c r="C1510" s="1046"/>
      <c r="D1510" s="1048"/>
      <c r="E1510" s="1068"/>
      <c r="F1510" s="1044"/>
      <c r="G1510" s="1077">
        <f t="shared" si="23"/>
        <v>0</v>
      </c>
      <c r="H1510" s="1042" t="str">
        <f>IF(C1510="","",VLOOKUP(C1510,Compte!$A$3:$B$346,2,0))</f>
        <v/>
      </c>
      <c r="I1510" s="1043" t="str">
        <f>IF(D1510="","",VLOOKUP(D1510,Compte!$A$3:$B$346,2,0))</f>
        <v/>
      </c>
    </row>
    <row r="1511" spans="1:9">
      <c r="A1511" s="1206"/>
      <c r="B1511" s="606"/>
      <c r="C1511" s="1046"/>
      <c r="D1511" s="1048"/>
      <c r="E1511" s="1068"/>
      <c r="F1511" s="1044"/>
      <c r="G1511" s="1077">
        <f t="shared" si="23"/>
        <v>0</v>
      </c>
      <c r="H1511" s="1042" t="str">
        <f>IF(C1511="","",VLOOKUP(C1511,Compte!$A$3:$B$346,2,0))</f>
        <v/>
      </c>
      <c r="I1511" s="1043" t="str">
        <f>IF(D1511="","",VLOOKUP(D1511,Compte!$A$3:$B$346,2,0))</f>
        <v/>
      </c>
    </row>
    <row r="1512" spans="1:9">
      <c r="A1512" s="1206"/>
      <c r="B1512" s="606"/>
      <c r="C1512" s="1046"/>
      <c r="D1512" s="1048"/>
      <c r="E1512" s="1068"/>
      <c r="F1512" s="1044"/>
      <c r="G1512" s="1077">
        <f t="shared" si="23"/>
        <v>0</v>
      </c>
      <c r="H1512" s="1042" t="str">
        <f>IF(C1512="","",VLOOKUP(C1512,Compte!$A$3:$B$346,2,0))</f>
        <v/>
      </c>
      <c r="I1512" s="1043" t="str">
        <f>IF(D1512="","",VLOOKUP(D1512,Compte!$A$3:$B$346,2,0))</f>
        <v/>
      </c>
    </row>
    <row r="1513" spans="1:9">
      <c r="A1513" s="1206"/>
      <c r="B1513" s="606"/>
      <c r="C1513" s="1046"/>
      <c r="D1513" s="1048"/>
      <c r="E1513" s="1068"/>
      <c r="F1513" s="1044"/>
      <c r="G1513" s="1077">
        <f t="shared" si="23"/>
        <v>0</v>
      </c>
      <c r="H1513" s="1042" t="str">
        <f>IF(C1513="","",VLOOKUP(C1513,Compte!$A$3:$B$346,2,0))</f>
        <v/>
      </c>
      <c r="I1513" s="1043" t="str">
        <f>IF(D1513="","",VLOOKUP(D1513,Compte!$A$3:$B$346,2,0))</f>
        <v/>
      </c>
    </row>
    <row r="1514" spans="1:9">
      <c r="A1514" s="1206"/>
      <c r="B1514" s="606"/>
      <c r="C1514" s="1046"/>
      <c r="D1514" s="1048"/>
      <c r="E1514" s="1068"/>
      <c r="F1514" s="1044"/>
      <c r="G1514" s="1077">
        <f t="shared" si="23"/>
        <v>0</v>
      </c>
      <c r="H1514" s="1042" t="str">
        <f>IF(C1514="","",VLOOKUP(C1514,Compte!$A$3:$B$346,2,0))</f>
        <v/>
      </c>
      <c r="I1514" s="1043" t="str">
        <f>IF(D1514="","",VLOOKUP(D1514,Compte!$A$3:$B$346,2,0))</f>
        <v/>
      </c>
    </row>
    <row r="1515" spans="1:9">
      <c r="A1515" s="1206"/>
      <c r="B1515" s="606"/>
      <c r="C1515" s="1046"/>
      <c r="D1515" s="1048"/>
      <c r="E1515" s="1068"/>
      <c r="F1515" s="1044"/>
      <c r="G1515" s="1077">
        <f t="shared" si="23"/>
        <v>0</v>
      </c>
      <c r="H1515" s="1042" t="str">
        <f>IF(C1515="","",VLOOKUP(C1515,Compte!$A$3:$B$346,2,0))</f>
        <v/>
      </c>
      <c r="I1515" s="1043" t="str">
        <f>IF(D1515="","",VLOOKUP(D1515,Compte!$A$3:$B$346,2,0))</f>
        <v/>
      </c>
    </row>
    <row r="1516" spans="1:9">
      <c r="A1516" s="1206"/>
      <c r="B1516" s="606"/>
      <c r="C1516" s="1046"/>
      <c r="D1516" s="1048"/>
      <c r="E1516" s="1068"/>
      <c r="F1516" s="1044"/>
      <c r="G1516" s="1077">
        <f t="shared" si="23"/>
        <v>0</v>
      </c>
      <c r="H1516" s="1042" t="str">
        <f>IF(C1516="","",VLOOKUP(C1516,Compte!$A$3:$B$346,2,0))</f>
        <v/>
      </c>
      <c r="I1516" s="1043" t="str">
        <f>IF(D1516="","",VLOOKUP(D1516,Compte!$A$3:$B$346,2,0))</f>
        <v/>
      </c>
    </row>
    <row r="1517" spans="1:9">
      <c r="A1517" s="1206"/>
      <c r="B1517" s="606"/>
      <c r="C1517" s="1046"/>
      <c r="D1517" s="1048"/>
      <c r="E1517" s="1068"/>
      <c r="F1517" s="1044"/>
      <c r="G1517" s="1077">
        <f t="shared" si="23"/>
        <v>0</v>
      </c>
      <c r="H1517" s="1042" t="str">
        <f>IF(C1517="","",VLOOKUP(C1517,Compte!$A$3:$B$346,2,0))</f>
        <v/>
      </c>
      <c r="I1517" s="1043" t="str">
        <f>IF(D1517="","",VLOOKUP(D1517,Compte!$A$3:$B$346,2,0))</f>
        <v/>
      </c>
    </row>
    <row r="1518" spans="1:9">
      <c r="A1518" s="1206"/>
      <c r="B1518" s="606"/>
      <c r="C1518" s="1046"/>
      <c r="D1518" s="1048"/>
      <c r="E1518" s="1068"/>
      <c r="F1518" s="1044"/>
      <c r="G1518" s="1077">
        <f t="shared" si="23"/>
        <v>0</v>
      </c>
      <c r="H1518" s="1042" t="str">
        <f>IF(C1518="","",VLOOKUP(C1518,Compte!$A$3:$B$346,2,0))</f>
        <v/>
      </c>
      <c r="I1518" s="1043" t="str">
        <f>IF(D1518="","",VLOOKUP(D1518,Compte!$A$3:$B$346,2,0))</f>
        <v/>
      </c>
    </row>
    <row r="1519" spans="1:9">
      <c r="A1519" s="1206"/>
      <c r="B1519" s="606"/>
      <c r="C1519" s="1046"/>
      <c r="D1519" s="1048"/>
      <c r="E1519" s="1068"/>
      <c r="F1519" s="1044"/>
      <c r="G1519" s="1077">
        <f t="shared" si="23"/>
        <v>0</v>
      </c>
      <c r="H1519" s="1042" t="str">
        <f>IF(C1519="","",VLOOKUP(C1519,Compte!$A$3:$B$346,2,0))</f>
        <v/>
      </c>
      <c r="I1519" s="1043" t="str">
        <f>IF(D1519="","",VLOOKUP(D1519,Compte!$A$3:$B$346,2,0))</f>
        <v/>
      </c>
    </row>
    <row r="1520" spans="1:9">
      <c r="A1520" s="1206"/>
      <c r="B1520" s="606"/>
      <c r="C1520" s="1046"/>
      <c r="D1520" s="1048"/>
      <c r="E1520" s="1068"/>
      <c r="F1520" s="1044"/>
      <c r="G1520" s="1077">
        <f t="shared" si="23"/>
        <v>0</v>
      </c>
      <c r="H1520" s="1042" t="str">
        <f>IF(C1520="","",VLOOKUP(C1520,Compte!$A$3:$B$346,2,0))</f>
        <v/>
      </c>
      <c r="I1520" s="1043" t="str">
        <f>IF(D1520="","",VLOOKUP(D1520,Compte!$A$3:$B$346,2,0))</f>
        <v/>
      </c>
    </row>
    <row r="1521" spans="1:9">
      <c r="A1521" s="1206"/>
      <c r="B1521" s="606"/>
      <c r="C1521" s="1046"/>
      <c r="D1521" s="1048"/>
      <c r="E1521" s="1068"/>
      <c r="F1521" s="1044"/>
      <c r="G1521" s="1077">
        <f t="shared" si="23"/>
        <v>0</v>
      </c>
      <c r="H1521" s="1042" t="str">
        <f>IF(C1521="","",VLOOKUP(C1521,Compte!$A$3:$B$346,2,0))</f>
        <v/>
      </c>
      <c r="I1521" s="1043" t="str">
        <f>IF(D1521="","",VLOOKUP(D1521,Compte!$A$3:$B$346,2,0))</f>
        <v/>
      </c>
    </row>
    <row r="1522" spans="1:9">
      <c r="A1522" s="1206"/>
      <c r="B1522" s="606"/>
      <c r="C1522" s="1046"/>
      <c r="D1522" s="1048"/>
      <c r="E1522" s="1068"/>
      <c r="F1522" s="1044"/>
      <c r="G1522" s="1077">
        <f t="shared" si="23"/>
        <v>0</v>
      </c>
      <c r="H1522" s="1042" t="str">
        <f>IF(C1522="","",VLOOKUP(C1522,Compte!$A$3:$B$346,2,0))</f>
        <v/>
      </c>
      <c r="I1522" s="1043" t="str">
        <f>IF(D1522="","",VLOOKUP(D1522,Compte!$A$3:$B$346,2,0))</f>
        <v/>
      </c>
    </row>
    <row r="1523" spans="1:9">
      <c r="A1523" s="1206"/>
      <c r="B1523" s="606"/>
      <c r="C1523" s="1046"/>
      <c r="D1523" s="1048"/>
      <c r="E1523" s="1068"/>
      <c r="F1523" s="1044"/>
      <c r="G1523" s="1077">
        <f t="shared" si="23"/>
        <v>0</v>
      </c>
      <c r="H1523" s="1042" t="str">
        <f>IF(C1523="","",VLOOKUP(C1523,Compte!$A$3:$B$346,2,0))</f>
        <v/>
      </c>
      <c r="I1523" s="1043" t="str">
        <f>IF(D1523="","",VLOOKUP(D1523,Compte!$A$3:$B$346,2,0))</f>
        <v/>
      </c>
    </row>
    <row r="1524" spans="1:9">
      <c r="A1524" s="1206"/>
      <c r="B1524" s="606"/>
      <c r="C1524" s="1046"/>
      <c r="D1524" s="1048"/>
      <c r="E1524" s="1068"/>
      <c r="F1524" s="1044"/>
      <c r="G1524" s="1077">
        <f t="shared" si="23"/>
        <v>0</v>
      </c>
      <c r="H1524" s="1042" t="str">
        <f>IF(C1524="","",VLOOKUP(C1524,Compte!$A$3:$B$346,2,0))</f>
        <v/>
      </c>
      <c r="I1524" s="1043" t="str">
        <f>IF(D1524="","",VLOOKUP(D1524,Compte!$A$3:$B$346,2,0))</f>
        <v/>
      </c>
    </row>
    <row r="1525" spans="1:9">
      <c r="A1525" s="1206"/>
      <c r="B1525" s="606"/>
      <c r="C1525" s="1046"/>
      <c r="D1525" s="1048"/>
      <c r="E1525" s="1068"/>
      <c r="F1525" s="1044"/>
      <c r="G1525" s="1077">
        <f t="shared" si="23"/>
        <v>0</v>
      </c>
      <c r="H1525" s="1042" t="str">
        <f>IF(C1525="","",VLOOKUP(C1525,Compte!$A$3:$B$346,2,0))</f>
        <v/>
      </c>
      <c r="I1525" s="1043" t="str">
        <f>IF(D1525="","",VLOOKUP(D1525,Compte!$A$3:$B$346,2,0))</f>
        <v/>
      </c>
    </row>
    <row r="1526" spans="1:9">
      <c r="A1526" s="1206"/>
      <c r="B1526" s="606"/>
      <c r="C1526" s="1046"/>
      <c r="D1526" s="1048"/>
      <c r="E1526" s="1068"/>
      <c r="F1526" s="1044"/>
      <c r="G1526" s="1077">
        <f t="shared" si="23"/>
        <v>0</v>
      </c>
      <c r="H1526" s="1042" t="str">
        <f>IF(C1526="","",VLOOKUP(C1526,Compte!$A$3:$B$346,2,0))</f>
        <v/>
      </c>
      <c r="I1526" s="1043" t="str">
        <f>IF(D1526="","",VLOOKUP(D1526,Compte!$A$3:$B$346,2,0))</f>
        <v/>
      </c>
    </row>
    <row r="1527" spans="1:9">
      <c r="A1527" s="1206"/>
      <c r="B1527" s="606"/>
      <c r="C1527" s="1046"/>
      <c r="D1527" s="1048"/>
      <c r="E1527" s="1068"/>
      <c r="F1527" s="1044"/>
      <c r="G1527" s="1077">
        <f t="shared" si="23"/>
        <v>0</v>
      </c>
      <c r="H1527" s="1042" t="str">
        <f>IF(C1527="","",VLOOKUP(C1527,Compte!$A$3:$B$346,2,0))</f>
        <v/>
      </c>
      <c r="I1527" s="1043" t="str">
        <f>IF(D1527="","",VLOOKUP(D1527,Compte!$A$3:$B$346,2,0))</f>
        <v/>
      </c>
    </row>
    <row r="1528" spans="1:9">
      <c r="A1528" s="1206"/>
      <c r="B1528" s="606"/>
      <c r="C1528" s="1046"/>
      <c r="D1528" s="1048"/>
      <c r="E1528" s="1068"/>
      <c r="F1528" s="1044"/>
      <c r="G1528" s="1077">
        <f t="shared" si="23"/>
        <v>0</v>
      </c>
      <c r="H1528" s="1042" t="str">
        <f>IF(C1528="","",VLOOKUP(C1528,Compte!$A$3:$B$346,2,0))</f>
        <v/>
      </c>
      <c r="I1528" s="1043" t="str">
        <f>IF(D1528="","",VLOOKUP(D1528,Compte!$A$3:$B$346,2,0))</f>
        <v/>
      </c>
    </row>
    <row r="1529" spans="1:9">
      <c r="A1529" s="1206"/>
      <c r="B1529" s="606"/>
      <c r="C1529" s="1046"/>
      <c r="D1529" s="1048"/>
      <c r="E1529" s="1068"/>
      <c r="F1529" s="1044"/>
      <c r="G1529" s="1077">
        <f t="shared" si="23"/>
        <v>0</v>
      </c>
      <c r="H1529" s="1042" t="str">
        <f>IF(C1529="","",VLOOKUP(C1529,Compte!$A$3:$B$346,2,0))</f>
        <v/>
      </c>
      <c r="I1529" s="1043" t="str">
        <f>IF(D1529="","",VLOOKUP(D1529,Compte!$A$3:$B$346,2,0))</f>
        <v/>
      </c>
    </row>
    <row r="1530" spans="1:9">
      <c r="A1530" s="1206"/>
      <c r="B1530" s="606"/>
      <c r="C1530" s="1046"/>
      <c r="D1530" s="1048"/>
      <c r="E1530" s="1068"/>
      <c r="F1530" s="1044"/>
      <c r="G1530" s="1077">
        <f t="shared" si="23"/>
        <v>0</v>
      </c>
      <c r="H1530" s="1042" t="str">
        <f>IF(C1530="","",VLOOKUP(C1530,Compte!$A$3:$B$346,2,0))</f>
        <v/>
      </c>
      <c r="I1530" s="1043" t="str">
        <f>IF(D1530="","",VLOOKUP(D1530,Compte!$A$3:$B$346,2,0))</f>
        <v/>
      </c>
    </row>
    <row r="1531" spans="1:9">
      <c r="A1531" s="1206"/>
      <c r="B1531" s="606"/>
      <c r="C1531" s="1046"/>
      <c r="D1531" s="1048"/>
      <c r="E1531" s="1068"/>
      <c r="F1531" s="1044"/>
      <c r="G1531" s="1077">
        <f t="shared" si="23"/>
        <v>0</v>
      </c>
      <c r="H1531" s="1042" t="str">
        <f>IF(C1531="","",VLOOKUP(C1531,Compte!$A$3:$B$346,2,0))</f>
        <v/>
      </c>
      <c r="I1531" s="1043" t="str">
        <f>IF(D1531="","",VLOOKUP(D1531,Compte!$A$3:$B$346,2,0))</f>
        <v/>
      </c>
    </row>
    <row r="1532" spans="1:9">
      <c r="A1532" s="1206"/>
      <c r="B1532" s="606"/>
      <c r="C1532" s="1046"/>
      <c r="D1532" s="1048"/>
      <c r="E1532" s="1068"/>
      <c r="F1532" s="1044"/>
      <c r="G1532" s="1077">
        <f t="shared" si="23"/>
        <v>0</v>
      </c>
      <c r="H1532" s="1042" t="str">
        <f>IF(C1532="","",VLOOKUP(C1532,Compte!$A$3:$B$346,2,0))</f>
        <v/>
      </c>
      <c r="I1532" s="1043" t="str">
        <f>IF(D1532="","",VLOOKUP(D1532,Compte!$A$3:$B$346,2,0))</f>
        <v/>
      </c>
    </row>
    <row r="1533" spans="1:9">
      <c r="A1533" s="1206"/>
      <c r="B1533" s="606"/>
      <c r="C1533" s="1046"/>
      <c r="D1533" s="1048"/>
      <c r="E1533" s="1068"/>
      <c r="F1533" s="1044"/>
      <c r="G1533" s="1077">
        <f t="shared" si="23"/>
        <v>0</v>
      </c>
      <c r="H1533" s="1042" t="str">
        <f>IF(C1533="","",VLOOKUP(C1533,Compte!$A$3:$B$346,2,0))</f>
        <v/>
      </c>
      <c r="I1533" s="1043" t="str">
        <f>IF(D1533="","",VLOOKUP(D1533,Compte!$A$3:$B$346,2,0))</f>
        <v/>
      </c>
    </row>
    <row r="1534" spans="1:9">
      <c r="A1534" s="1206"/>
      <c r="B1534" s="606"/>
      <c r="C1534" s="1046"/>
      <c r="D1534" s="1048"/>
      <c r="E1534" s="1068"/>
      <c r="F1534" s="1044"/>
      <c r="G1534" s="1077">
        <f t="shared" si="23"/>
        <v>0</v>
      </c>
      <c r="H1534" s="1042" t="str">
        <f>IF(C1534="","",VLOOKUP(C1534,Compte!$A$3:$B$346,2,0))</f>
        <v/>
      </c>
      <c r="I1534" s="1043" t="str">
        <f>IF(D1534="","",VLOOKUP(D1534,Compte!$A$3:$B$346,2,0))</f>
        <v/>
      </c>
    </row>
    <row r="1535" spans="1:9">
      <c r="A1535" s="1206"/>
      <c r="B1535" s="606"/>
      <c r="C1535" s="1046"/>
      <c r="D1535" s="1048"/>
      <c r="E1535" s="1068"/>
      <c r="F1535" s="1044"/>
      <c r="G1535" s="1077">
        <f t="shared" si="23"/>
        <v>0</v>
      </c>
      <c r="H1535" s="1042" t="str">
        <f>IF(C1535="","",VLOOKUP(C1535,Compte!$A$3:$B$346,2,0))</f>
        <v/>
      </c>
      <c r="I1535" s="1043" t="str">
        <f>IF(D1535="","",VLOOKUP(D1535,Compte!$A$3:$B$346,2,0))</f>
        <v/>
      </c>
    </row>
    <row r="1536" spans="1:9">
      <c r="A1536" s="1206"/>
      <c r="B1536" s="606"/>
      <c r="C1536" s="1046"/>
      <c r="D1536" s="1048"/>
      <c r="E1536" s="1068"/>
      <c r="F1536" s="1044"/>
      <c r="G1536" s="1077">
        <f t="shared" si="23"/>
        <v>0</v>
      </c>
      <c r="H1536" s="1042" t="str">
        <f>IF(C1536="","",VLOOKUP(C1536,Compte!$A$3:$B$346,2,0))</f>
        <v/>
      </c>
      <c r="I1536" s="1043" t="str">
        <f>IF(D1536="","",VLOOKUP(D1536,Compte!$A$3:$B$346,2,0))</f>
        <v/>
      </c>
    </row>
    <row r="1537" spans="1:9">
      <c r="A1537" s="1206"/>
      <c r="B1537" s="606"/>
      <c r="C1537" s="1046"/>
      <c r="D1537" s="1048"/>
      <c r="E1537" s="1068"/>
      <c r="F1537" s="1044"/>
      <c r="G1537" s="1077">
        <f t="shared" si="23"/>
        <v>0</v>
      </c>
      <c r="H1537" s="1042" t="str">
        <f>IF(C1537="","",VLOOKUP(C1537,Compte!$A$3:$B$346,2,0))</f>
        <v/>
      </c>
      <c r="I1537" s="1043" t="str">
        <f>IF(D1537="","",VLOOKUP(D1537,Compte!$A$3:$B$346,2,0))</f>
        <v/>
      </c>
    </row>
    <row r="1538" spans="1:9">
      <c r="A1538" s="1206"/>
      <c r="B1538" s="606"/>
      <c r="C1538" s="1046"/>
      <c r="D1538" s="1048"/>
      <c r="E1538" s="1068"/>
      <c r="F1538" s="1044"/>
      <c r="G1538" s="1077">
        <f t="shared" si="23"/>
        <v>0</v>
      </c>
      <c r="H1538" s="1042" t="str">
        <f>IF(C1538="","",VLOOKUP(C1538,Compte!$A$3:$B$346,2,0))</f>
        <v/>
      </c>
      <c r="I1538" s="1043" t="str">
        <f>IF(D1538="","",VLOOKUP(D1538,Compte!$A$3:$B$346,2,0))</f>
        <v/>
      </c>
    </row>
    <row r="1539" spans="1:9">
      <c r="A1539" s="1206"/>
      <c r="B1539" s="606"/>
      <c r="C1539" s="1046"/>
      <c r="D1539" s="1048"/>
      <c r="E1539" s="1068"/>
      <c r="F1539" s="1044"/>
      <c r="G1539" s="1077">
        <f t="shared" si="23"/>
        <v>0</v>
      </c>
      <c r="H1539" s="1042" t="str">
        <f>IF(C1539="","",VLOOKUP(C1539,Compte!$A$3:$B$346,2,0))</f>
        <v/>
      </c>
      <c r="I1539" s="1043" t="str">
        <f>IF(D1539="","",VLOOKUP(D1539,Compte!$A$3:$B$346,2,0))</f>
        <v/>
      </c>
    </row>
    <row r="1540" spans="1:9">
      <c r="A1540" s="1206"/>
      <c r="B1540" s="606"/>
      <c r="C1540" s="1046"/>
      <c r="D1540" s="1048"/>
      <c r="E1540" s="1068"/>
      <c r="F1540" s="1044"/>
      <c r="G1540" s="1077">
        <f t="shared" si="23"/>
        <v>0</v>
      </c>
      <c r="H1540" s="1042" t="str">
        <f>IF(C1540="","",VLOOKUP(C1540,Compte!$A$3:$B$346,2,0))</f>
        <v/>
      </c>
      <c r="I1540" s="1043" t="str">
        <f>IF(D1540="","",VLOOKUP(D1540,Compte!$A$3:$B$346,2,0))</f>
        <v/>
      </c>
    </row>
    <row r="1541" spans="1:9">
      <c r="A1541" s="1206"/>
      <c r="B1541" s="606"/>
      <c r="C1541" s="1046"/>
      <c r="D1541" s="1048"/>
      <c r="E1541" s="1068"/>
      <c r="F1541" s="1044"/>
      <c r="G1541" s="1077">
        <f t="shared" si="23"/>
        <v>0</v>
      </c>
      <c r="H1541" s="1042" t="str">
        <f>IF(C1541="","",VLOOKUP(C1541,Compte!$A$3:$B$346,2,0))</f>
        <v/>
      </c>
      <c r="I1541" s="1043" t="str">
        <f>IF(D1541="","",VLOOKUP(D1541,Compte!$A$3:$B$346,2,0))</f>
        <v/>
      </c>
    </row>
    <row r="1542" spans="1:9">
      <c r="A1542" s="1206"/>
      <c r="B1542" s="606"/>
      <c r="C1542" s="1046"/>
      <c r="D1542" s="1048"/>
      <c r="E1542" s="1068"/>
      <c r="F1542" s="1044"/>
      <c r="G1542" s="1077">
        <f t="shared" si="23"/>
        <v>0</v>
      </c>
      <c r="H1542" s="1042" t="str">
        <f>IF(C1542="","",VLOOKUP(C1542,Compte!$A$3:$B$346,2,0))</f>
        <v/>
      </c>
      <c r="I1542" s="1043" t="str">
        <f>IF(D1542="","",VLOOKUP(D1542,Compte!$A$3:$B$346,2,0))</f>
        <v/>
      </c>
    </row>
    <row r="1543" spans="1:9">
      <c r="A1543" s="1206"/>
      <c r="B1543" s="606"/>
      <c r="C1543" s="1046"/>
      <c r="D1543" s="1048"/>
      <c r="E1543" s="1068"/>
      <c r="F1543" s="1044"/>
      <c r="G1543" s="1077">
        <f t="shared" si="23"/>
        <v>0</v>
      </c>
      <c r="H1543" s="1042" t="str">
        <f>IF(C1543="","",VLOOKUP(C1543,Compte!$A$3:$B$346,2,0))</f>
        <v/>
      </c>
      <c r="I1543" s="1043" t="str">
        <f>IF(D1543="","",VLOOKUP(D1543,Compte!$A$3:$B$346,2,0))</f>
        <v/>
      </c>
    </row>
    <row r="1544" spans="1:9">
      <c r="A1544" s="1206"/>
      <c r="B1544" s="606"/>
      <c r="C1544" s="1046"/>
      <c r="D1544" s="1048"/>
      <c r="E1544" s="1068"/>
      <c r="F1544" s="1044"/>
      <c r="G1544" s="1077">
        <f t="shared" ref="G1544:G1607" si="24">IF(C1544="",F1544,E1544)</f>
        <v>0</v>
      </c>
      <c r="H1544" s="1042" t="str">
        <f>IF(C1544="","",VLOOKUP(C1544,Compte!$A$3:$B$346,2,0))</f>
        <v/>
      </c>
      <c r="I1544" s="1043" t="str">
        <f>IF(D1544="","",VLOOKUP(D1544,Compte!$A$3:$B$346,2,0))</f>
        <v/>
      </c>
    </row>
    <row r="1545" spans="1:9">
      <c r="A1545" s="1206"/>
      <c r="B1545" s="606"/>
      <c r="C1545" s="1046"/>
      <c r="D1545" s="1048"/>
      <c r="E1545" s="1068"/>
      <c r="F1545" s="1044"/>
      <c r="G1545" s="1077">
        <f t="shared" si="24"/>
        <v>0</v>
      </c>
      <c r="H1545" s="1042" t="str">
        <f>IF(C1545="","",VLOOKUP(C1545,Compte!$A$3:$B$346,2,0))</f>
        <v/>
      </c>
      <c r="I1545" s="1043" t="str">
        <f>IF(D1545="","",VLOOKUP(D1545,Compte!$A$3:$B$346,2,0))</f>
        <v/>
      </c>
    </row>
    <row r="1546" spans="1:9">
      <c r="A1546" s="1206"/>
      <c r="B1546" s="606"/>
      <c r="C1546" s="1046"/>
      <c r="D1546" s="1048"/>
      <c r="E1546" s="1068"/>
      <c r="F1546" s="1044"/>
      <c r="G1546" s="1077">
        <f t="shared" si="24"/>
        <v>0</v>
      </c>
      <c r="H1546" s="1042" t="str">
        <f>IF(C1546="","",VLOOKUP(C1546,Compte!$A$3:$B$346,2,0))</f>
        <v/>
      </c>
      <c r="I1546" s="1043" t="str">
        <f>IF(D1546="","",VLOOKUP(D1546,Compte!$A$3:$B$346,2,0))</f>
        <v/>
      </c>
    </row>
    <row r="1547" spans="1:9">
      <c r="A1547" s="1206"/>
      <c r="B1547" s="606"/>
      <c r="C1547" s="1046"/>
      <c r="D1547" s="1048"/>
      <c r="E1547" s="1068"/>
      <c r="F1547" s="1044"/>
      <c r="G1547" s="1077">
        <f t="shared" si="24"/>
        <v>0</v>
      </c>
      <c r="H1547" s="1042" t="str">
        <f>IF(C1547="","",VLOOKUP(C1547,Compte!$A$3:$B$346,2,0))</f>
        <v/>
      </c>
      <c r="I1547" s="1043" t="str">
        <f>IF(D1547="","",VLOOKUP(D1547,Compte!$A$3:$B$346,2,0))</f>
        <v/>
      </c>
    </row>
    <row r="1548" spans="1:9">
      <c r="A1548" s="1206"/>
      <c r="B1548" s="606"/>
      <c r="C1548" s="1046"/>
      <c r="D1548" s="1048"/>
      <c r="E1548" s="1068"/>
      <c r="F1548" s="1044"/>
      <c r="G1548" s="1077">
        <f t="shared" si="24"/>
        <v>0</v>
      </c>
      <c r="H1548" s="1042" t="str">
        <f>IF(C1548="","",VLOOKUP(C1548,Compte!$A$3:$B$346,2,0))</f>
        <v/>
      </c>
      <c r="I1548" s="1043" t="str">
        <f>IF(D1548="","",VLOOKUP(D1548,Compte!$A$3:$B$346,2,0))</f>
        <v/>
      </c>
    </row>
    <row r="1549" spans="1:9">
      <c r="A1549" s="1206"/>
      <c r="B1549" s="606"/>
      <c r="C1549" s="1046"/>
      <c r="D1549" s="1048"/>
      <c r="E1549" s="1068"/>
      <c r="F1549" s="1044"/>
      <c r="G1549" s="1077">
        <f t="shared" si="24"/>
        <v>0</v>
      </c>
      <c r="H1549" s="1042" t="str">
        <f>IF(C1549="","",VLOOKUP(C1549,Compte!$A$3:$B$346,2,0))</f>
        <v/>
      </c>
      <c r="I1549" s="1043" t="str">
        <f>IF(D1549="","",VLOOKUP(D1549,Compte!$A$3:$B$346,2,0))</f>
        <v/>
      </c>
    </row>
    <row r="1550" spans="1:9">
      <c r="A1550" s="1206"/>
      <c r="B1550" s="606"/>
      <c r="C1550" s="1046"/>
      <c r="D1550" s="1048"/>
      <c r="E1550" s="1068"/>
      <c r="F1550" s="1044"/>
      <c r="G1550" s="1077">
        <f t="shared" si="24"/>
        <v>0</v>
      </c>
      <c r="H1550" s="1042" t="str">
        <f>IF(C1550="","",VLOOKUP(C1550,Compte!$A$3:$B$346,2,0))</f>
        <v/>
      </c>
      <c r="I1550" s="1043" t="str">
        <f>IF(D1550="","",VLOOKUP(D1550,Compte!$A$3:$B$346,2,0))</f>
        <v/>
      </c>
    </row>
    <row r="1551" spans="1:9">
      <c r="A1551" s="1206"/>
      <c r="B1551" s="606"/>
      <c r="C1551" s="1046"/>
      <c r="D1551" s="1048"/>
      <c r="E1551" s="1068"/>
      <c r="F1551" s="1044"/>
      <c r="G1551" s="1077">
        <f t="shared" si="24"/>
        <v>0</v>
      </c>
      <c r="H1551" s="1042" t="str">
        <f>IF(C1551="","",VLOOKUP(C1551,Compte!$A$3:$B$346,2,0))</f>
        <v/>
      </c>
      <c r="I1551" s="1043" t="str">
        <f>IF(D1551="","",VLOOKUP(D1551,Compte!$A$3:$B$346,2,0))</f>
        <v/>
      </c>
    </row>
    <row r="1552" spans="1:9">
      <c r="A1552" s="1206"/>
      <c r="B1552" s="606"/>
      <c r="C1552" s="1046"/>
      <c r="D1552" s="1048"/>
      <c r="E1552" s="1068"/>
      <c r="F1552" s="1044"/>
      <c r="G1552" s="1077">
        <f t="shared" si="24"/>
        <v>0</v>
      </c>
      <c r="H1552" s="1042" t="str">
        <f>IF(C1552="","",VLOOKUP(C1552,Compte!$A$3:$B$346,2,0))</f>
        <v/>
      </c>
      <c r="I1552" s="1043" t="str">
        <f>IF(D1552="","",VLOOKUP(D1552,Compte!$A$3:$B$346,2,0))</f>
        <v/>
      </c>
    </row>
    <row r="1553" spans="1:9">
      <c r="A1553" s="1206"/>
      <c r="B1553" s="606"/>
      <c r="C1553" s="1046"/>
      <c r="D1553" s="1048"/>
      <c r="E1553" s="1068"/>
      <c r="F1553" s="1044"/>
      <c r="G1553" s="1077">
        <f t="shared" si="24"/>
        <v>0</v>
      </c>
      <c r="H1553" s="1042" t="str">
        <f>IF(C1553="","",VLOOKUP(C1553,Compte!$A$3:$B$346,2,0))</f>
        <v/>
      </c>
      <c r="I1553" s="1043" t="str">
        <f>IF(D1553="","",VLOOKUP(D1553,Compte!$A$3:$B$346,2,0))</f>
        <v/>
      </c>
    </row>
    <row r="1554" spans="1:9">
      <c r="A1554" s="1206"/>
      <c r="B1554" s="606"/>
      <c r="C1554" s="1046"/>
      <c r="D1554" s="1048"/>
      <c r="E1554" s="1068"/>
      <c r="F1554" s="1044"/>
      <c r="G1554" s="1077">
        <f t="shared" si="24"/>
        <v>0</v>
      </c>
      <c r="H1554" s="1042" t="str">
        <f>IF(C1554="","",VLOOKUP(C1554,Compte!$A$3:$B$346,2,0))</f>
        <v/>
      </c>
      <c r="I1554" s="1043" t="str">
        <f>IF(D1554="","",VLOOKUP(D1554,Compte!$A$3:$B$346,2,0))</f>
        <v/>
      </c>
    </row>
    <row r="1555" spans="1:9">
      <c r="A1555" s="1206"/>
      <c r="B1555" s="606"/>
      <c r="C1555" s="1046"/>
      <c r="D1555" s="1048"/>
      <c r="E1555" s="1068"/>
      <c r="F1555" s="1044"/>
      <c r="G1555" s="1077">
        <f t="shared" si="24"/>
        <v>0</v>
      </c>
      <c r="H1555" s="1042" t="str">
        <f>IF(C1555="","",VLOOKUP(C1555,Compte!$A$3:$B$346,2,0))</f>
        <v/>
      </c>
      <c r="I1555" s="1043" t="str">
        <f>IF(D1555="","",VLOOKUP(D1555,Compte!$A$3:$B$346,2,0))</f>
        <v/>
      </c>
    </row>
    <row r="1556" spans="1:9">
      <c r="A1556" s="1206"/>
      <c r="B1556" s="606"/>
      <c r="C1556" s="1046"/>
      <c r="D1556" s="1048"/>
      <c r="E1556" s="1068"/>
      <c r="F1556" s="1044"/>
      <c r="G1556" s="1077">
        <f t="shared" si="24"/>
        <v>0</v>
      </c>
      <c r="H1556" s="1042" t="str">
        <f>IF(C1556="","",VLOOKUP(C1556,Compte!$A$3:$B$346,2,0))</f>
        <v/>
      </c>
      <c r="I1556" s="1043" t="str">
        <f>IF(D1556="","",VLOOKUP(D1556,Compte!$A$3:$B$346,2,0))</f>
        <v/>
      </c>
    </row>
    <row r="1557" spans="1:9">
      <c r="A1557" s="1206"/>
      <c r="B1557" s="606"/>
      <c r="C1557" s="1046"/>
      <c r="D1557" s="1048"/>
      <c r="E1557" s="1068"/>
      <c r="F1557" s="1044"/>
      <c r="G1557" s="1077">
        <f t="shared" si="24"/>
        <v>0</v>
      </c>
      <c r="H1557" s="1042" t="str">
        <f>IF(C1557="","",VLOOKUP(C1557,Compte!$A$3:$B$346,2,0))</f>
        <v/>
      </c>
      <c r="I1557" s="1043" t="str">
        <f>IF(D1557="","",VLOOKUP(D1557,Compte!$A$3:$B$346,2,0))</f>
        <v/>
      </c>
    </row>
    <row r="1558" spans="1:9">
      <c r="A1558" s="1206"/>
      <c r="B1558" s="606"/>
      <c r="C1558" s="1046"/>
      <c r="D1558" s="1048"/>
      <c r="E1558" s="1068"/>
      <c r="F1558" s="1044"/>
      <c r="G1558" s="1077">
        <f t="shared" si="24"/>
        <v>0</v>
      </c>
      <c r="H1558" s="1042" t="str">
        <f>IF(C1558="","",VLOOKUP(C1558,Compte!$A$3:$B$346,2,0))</f>
        <v/>
      </c>
      <c r="I1558" s="1043" t="str">
        <f>IF(D1558="","",VLOOKUP(D1558,Compte!$A$3:$B$346,2,0))</f>
        <v/>
      </c>
    </row>
    <row r="1559" spans="1:9">
      <c r="A1559" s="1206"/>
      <c r="B1559" s="606"/>
      <c r="C1559" s="1046"/>
      <c r="D1559" s="1048"/>
      <c r="E1559" s="1068"/>
      <c r="F1559" s="1044"/>
      <c r="G1559" s="1077">
        <f t="shared" si="24"/>
        <v>0</v>
      </c>
      <c r="H1559" s="1042" t="str">
        <f>IF(C1559="","",VLOOKUP(C1559,Compte!$A$3:$B$346,2,0))</f>
        <v/>
      </c>
      <c r="I1559" s="1043" t="str">
        <f>IF(D1559="","",VLOOKUP(D1559,Compte!$A$3:$B$346,2,0))</f>
        <v/>
      </c>
    </row>
    <row r="1560" spans="1:9">
      <c r="A1560" s="1206"/>
      <c r="B1560" s="606"/>
      <c r="C1560" s="1046"/>
      <c r="D1560" s="1048"/>
      <c r="E1560" s="1068"/>
      <c r="F1560" s="1044"/>
      <c r="G1560" s="1077">
        <f t="shared" si="24"/>
        <v>0</v>
      </c>
      <c r="H1560" s="1042" t="str">
        <f>IF(C1560="","",VLOOKUP(C1560,Compte!$A$3:$B$346,2,0))</f>
        <v/>
      </c>
      <c r="I1560" s="1043" t="str">
        <f>IF(D1560="","",VLOOKUP(D1560,Compte!$A$3:$B$346,2,0))</f>
        <v/>
      </c>
    </row>
    <row r="1561" spans="1:9">
      <c r="A1561" s="1206"/>
      <c r="B1561" s="606"/>
      <c r="C1561" s="1046"/>
      <c r="D1561" s="1048"/>
      <c r="E1561" s="1068"/>
      <c r="F1561" s="1044"/>
      <c r="G1561" s="1077">
        <f t="shared" si="24"/>
        <v>0</v>
      </c>
      <c r="H1561" s="1042" t="str">
        <f>IF(C1561="","",VLOOKUP(C1561,Compte!$A$3:$B$346,2,0))</f>
        <v/>
      </c>
      <c r="I1561" s="1043" t="str">
        <f>IF(D1561="","",VLOOKUP(D1561,Compte!$A$3:$B$346,2,0))</f>
        <v/>
      </c>
    </row>
    <row r="1562" spans="1:9">
      <c r="A1562" s="1206"/>
      <c r="B1562" s="606"/>
      <c r="C1562" s="1046"/>
      <c r="D1562" s="1048"/>
      <c r="E1562" s="1068"/>
      <c r="F1562" s="1044"/>
      <c r="G1562" s="1077">
        <f t="shared" si="24"/>
        <v>0</v>
      </c>
      <c r="H1562" s="1042" t="str">
        <f>IF(C1562="","",VLOOKUP(C1562,Compte!$A$3:$B$346,2,0))</f>
        <v/>
      </c>
      <c r="I1562" s="1043" t="str">
        <f>IF(D1562="","",VLOOKUP(D1562,Compte!$A$3:$B$346,2,0))</f>
        <v/>
      </c>
    </row>
    <row r="1563" spans="1:9">
      <c r="A1563" s="1206"/>
      <c r="B1563" s="606"/>
      <c r="C1563" s="1046"/>
      <c r="D1563" s="1048"/>
      <c r="E1563" s="1068"/>
      <c r="F1563" s="1044"/>
      <c r="G1563" s="1077">
        <f t="shared" si="24"/>
        <v>0</v>
      </c>
      <c r="H1563" s="1042" t="str">
        <f>IF(C1563="","",VLOOKUP(C1563,Compte!$A$3:$B$346,2,0))</f>
        <v/>
      </c>
      <c r="I1563" s="1043" t="str">
        <f>IF(D1563="","",VLOOKUP(D1563,Compte!$A$3:$B$346,2,0))</f>
        <v/>
      </c>
    </row>
    <row r="1564" spans="1:9">
      <c r="A1564" s="1206"/>
      <c r="B1564" s="606"/>
      <c r="C1564" s="1046"/>
      <c r="D1564" s="1048"/>
      <c r="E1564" s="1068"/>
      <c r="F1564" s="1044"/>
      <c r="G1564" s="1077">
        <f t="shared" si="24"/>
        <v>0</v>
      </c>
      <c r="H1564" s="1042" t="str">
        <f>IF(C1564="","",VLOOKUP(C1564,Compte!$A$3:$B$346,2,0))</f>
        <v/>
      </c>
      <c r="I1564" s="1043" t="str">
        <f>IF(D1564="","",VLOOKUP(D1564,Compte!$A$3:$B$346,2,0))</f>
        <v/>
      </c>
    </row>
    <row r="1565" spans="1:9">
      <c r="A1565" s="1206"/>
      <c r="B1565" s="606"/>
      <c r="C1565" s="1046"/>
      <c r="D1565" s="1048"/>
      <c r="E1565" s="1068"/>
      <c r="F1565" s="1044"/>
      <c r="G1565" s="1077">
        <f t="shared" si="24"/>
        <v>0</v>
      </c>
      <c r="H1565" s="1042" t="str">
        <f>IF(C1565="","",VLOOKUP(C1565,Compte!$A$3:$B$346,2,0))</f>
        <v/>
      </c>
      <c r="I1565" s="1043" t="str">
        <f>IF(D1565="","",VLOOKUP(D1565,Compte!$A$3:$B$346,2,0))</f>
        <v/>
      </c>
    </row>
    <row r="1566" spans="1:9">
      <c r="A1566" s="1206"/>
      <c r="B1566" s="606"/>
      <c r="C1566" s="1046"/>
      <c r="D1566" s="1048"/>
      <c r="E1566" s="1068"/>
      <c r="F1566" s="1044"/>
      <c r="G1566" s="1077">
        <f t="shared" si="24"/>
        <v>0</v>
      </c>
      <c r="H1566" s="1042" t="str">
        <f>IF(C1566="","",VLOOKUP(C1566,Compte!$A$3:$B$346,2,0))</f>
        <v/>
      </c>
      <c r="I1566" s="1043" t="str">
        <f>IF(D1566="","",VLOOKUP(D1566,Compte!$A$3:$B$346,2,0))</f>
        <v/>
      </c>
    </row>
    <row r="1567" spans="1:9">
      <c r="A1567" s="1206"/>
      <c r="B1567" s="606"/>
      <c r="C1567" s="1046"/>
      <c r="D1567" s="1048"/>
      <c r="E1567" s="1068"/>
      <c r="F1567" s="1044"/>
      <c r="G1567" s="1077">
        <f t="shared" si="24"/>
        <v>0</v>
      </c>
      <c r="H1567" s="1042" t="str">
        <f>IF(C1567="","",VLOOKUP(C1567,Compte!$A$3:$B$346,2,0))</f>
        <v/>
      </c>
      <c r="I1567" s="1043" t="str">
        <f>IF(D1567="","",VLOOKUP(D1567,Compte!$A$3:$B$346,2,0))</f>
        <v/>
      </c>
    </row>
    <row r="1568" spans="1:9">
      <c r="A1568" s="1206"/>
      <c r="B1568" s="606"/>
      <c r="C1568" s="1046"/>
      <c r="D1568" s="1048"/>
      <c r="E1568" s="1068"/>
      <c r="F1568" s="1044"/>
      <c r="G1568" s="1077">
        <f t="shared" si="24"/>
        <v>0</v>
      </c>
      <c r="H1568" s="1042" t="str">
        <f>IF(C1568="","",VLOOKUP(C1568,Compte!$A$3:$B$346,2,0))</f>
        <v/>
      </c>
      <c r="I1568" s="1043" t="str">
        <f>IF(D1568="","",VLOOKUP(D1568,Compte!$A$3:$B$346,2,0))</f>
        <v/>
      </c>
    </row>
    <row r="1569" spans="1:9">
      <c r="A1569" s="1206"/>
      <c r="B1569" s="606"/>
      <c r="C1569" s="1046"/>
      <c r="D1569" s="1048"/>
      <c r="E1569" s="1068"/>
      <c r="F1569" s="1044"/>
      <c r="G1569" s="1077">
        <f t="shared" si="24"/>
        <v>0</v>
      </c>
      <c r="H1569" s="1042" t="str">
        <f>IF(C1569="","",VLOOKUP(C1569,Compte!$A$3:$B$346,2,0))</f>
        <v/>
      </c>
      <c r="I1569" s="1043" t="str">
        <f>IF(D1569="","",VLOOKUP(D1569,Compte!$A$3:$B$346,2,0))</f>
        <v/>
      </c>
    </row>
    <row r="1570" spans="1:9">
      <c r="A1570" s="1206"/>
      <c r="B1570" s="606"/>
      <c r="C1570" s="1046"/>
      <c r="D1570" s="1048"/>
      <c r="E1570" s="1068"/>
      <c r="F1570" s="1044"/>
      <c r="G1570" s="1077">
        <f t="shared" si="24"/>
        <v>0</v>
      </c>
      <c r="H1570" s="1042" t="str">
        <f>IF(C1570="","",VLOOKUP(C1570,Compte!$A$3:$B$346,2,0))</f>
        <v/>
      </c>
      <c r="I1570" s="1043" t="str">
        <f>IF(D1570="","",VLOOKUP(D1570,Compte!$A$3:$B$346,2,0))</f>
        <v/>
      </c>
    </row>
    <row r="1571" spans="1:9">
      <c r="A1571" s="1206"/>
      <c r="B1571" s="606"/>
      <c r="C1571" s="1046"/>
      <c r="D1571" s="1048"/>
      <c r="E1571" s="1068"/>
      <c r="F1571" s="1044"/>
      <c r="G1571" s="1077">
        <f t="shared" si="24"/>
        <v>0</v>
      </c>
      <c r="H1571" s="1042" t="str">
        <f>IF(C1571="","",VLOOKUP(C1571,Compte!$A$3:$B$346,2,0))</f>
        <v/>
      </c>
      <c r="I1571" s="1043" t="str">
        <f>IF(D1571="","",VLOOKUP(D1571,Compte!$A$3:$B$346,2,0))</f>
        <v/>
      </c>
    </row>
    <row r="1572" spans="1:9">
      <c r="A1572" s="1206"/>
      <c r="B1572" s="606"/>
      <c r="C1572" s="1046"/>
      <c r="D1572" s="1048"/>
      <c r="E1572" s="1068"/>
      <c r="F1572" s="1044"/>
      <c r="G1572" s="1077">
        <f t="shared" si="24"/>
        <v>0</v>
      </c>
      <c r="H1572" s="1042" t="str">
        <f>IF(C1572="","",VLOOKUP(C1572,Compte!$A$3:$B$346,2,0))</f>
        <v/>
      </c>
      <c r="I1572" s="1043" t="str">
        <f>IF(D1572="","",VLOOKUP(D1572,Compte!$A$3:$B$346,2,0))</f>
        <v/>
      </c>
    </row>
    <row r="1573" spans="1:9">
      <c r="A1573" s="1206"/>
      <c r="B1573" s="606"/>
      <c r="C1573" s="1046"/>
      <c r="D1573" s="1048"/>
      <c r="E1573" s="1068"/>
      <c r="F1573" s="1044"/>
      <c r="G1573" s="1077">
        <f t="shared" si="24"/>
        <v>0</v>
      </c>
      <c r="H1573" s="1042" t="str">
        <f>IF(C1573="","",VLOOKUP(C1573,Compte!$A$3:$B$346,2,0))</f>
        <v/>
      </c>
      <c r="I1573" s="1043" t="str">
        <f>IF(D1573="","",VLOOKUP(D1573,Compte!$A$3:$B$346,2,0))</f>
        <v/>
      </c>
    </row>
    <row r="1574" spans="1:9">
      <c r="A1574" s="1206"/>
      <c r="B1574" s="606"/>
      <c r="C1574" s="1046"/>
      <c r="D1574" s="1048"/>
      <c r="E1574" s="1068"/>
      <c r="F1574" s="1044"/>
      <c r="G1574" s="1077">
        <f t="shared" si="24"/>
        <v>0</v>
      </c>
      <c r="H1574" s="1042" t="str">
        <f>IF(C1574="","",VLOOKUP(C1574,Compte!$A$3:$B$346,2,0))</f>
        <v/>
      </c>
      <c r="I1574" s="1043" t="str">
        <f>IF(D1574="","",VLOOKUP(D1574,Compte!$A$3:$B$346,2,0))</f>
        <v/>
      </c>
    </row>
    <row r="1575" spans="1:9">
      <c r="A1575" s="1206"/>
      <c r="B1575" s="606"/>
      <c r="C1575" s="1046"/>
      <c r="D1575" s="1048"/>
      <c r="E1575" s="1068"/>
      <c r="F1575" s="1044"/>
      <c r="G1575" s="1077">
        <f t="shared" si="24"/>
        <v>0</v>
      </c>
      <c r="H1575" s="1042" t="str">
        <f>IF(C1575="","",VLOOKUP(C1575,Compte!$A$3:$B$346,2,0))</f>
        <v/>
      </c>
      <c r="I1575" s="1043" t="str">
        <f>IF(D1575="","",VLOOKUP(D1575,Compte!$A$3:$B$346,2,0))</f>
        <v/>
      </c>
    </row>
    <row r="1576" spans="1:9">
      <c r="A1576" s="1206"/>
      <c r="B1576" s="606"/>
      <c r="C1576" s="1046"/>
      <c r="D1576" s="1048"/>
      <c r="E1576" s="1068"/>
      <c r="F1576" s="1044"/>
      <c r="G1576" s="1077">
        <f t="shared" si="24"/>
        <v>0</v>
      </c>
      <c r="H1576" s="1042" t="str">
        <f>IF(C1576="","",VLOOKUP(C1576,Compte!$A$3:$B$346,2,0))</f>
        <v/>
      </c>
      <c r="I1576" s="1043" t="str">
        <f>IF(D1576="","",VLOOKUP(D1576,Compte!$A$3:$B$346,2,0))</f>
        <v/>
      </c>
    </row>
    <row r="1577" spans="1:9">
      <c r="A1577" s="1206"/>
      <c r="B1577" s="606"/>
      <c r="C1577" s="1046"/>
      <c r="D1577" s="1048"/>
      <c r="E1577" s="1068"/>
      <c r="F1577" s="1044"/>
      <c r="G1577" s="1077">
        <f t="shared" si="24"/>
        <v>0</v>
      </c>
      <c r="H1577" s="1042" t="str">
        <f>IF(C1577="","",VLOOKUP(C1577,Compte!$A$3:$B$346,2,0))</f>
        <v/>
      </c>
      <c r="I1577" s="1043" t="str">
        <f>IF(D1577="","",VLOOKUP(D1577,Compte!$A$3:$B$346,2,0))</f>
        <v/>
      </c>
    </row>
    <row r="1578" spans="1:9">
      <c r="A1578" s="1206"/>
      <c r="B1578" s="606"/>
      <c r="C1578" s="1046"/>
      <c r="D1578" s="1048"/>
      <c r="E1578" s="1068"/>
      <c r="F1578" s="1044"/>
      <c r="G1578" s="1077">
        <f t="shared" si="24"/>
        <v>0</v>
      </c>
      <c r="H1578" s="1042" t="str">
        <f>IF(C1578="","",VLOOKUP(C1578,Compte!$A$3:$B$346,2,0))</f>
        <v/>
      </c>
      <c r="I1578" s="1043" t="str">
        <f>IF(D1578="","",VLOOKUP(D1578,Compte!$A$3:$B$346,2,0))</f>
        <v/>
      </c>
    </row>
    <row r="1579" spans="1:9">
      <c r="A1579" s="1206"/>
      <c r="B1579" s="606"/>
      <c r="C1579" s="1046"/>
      <c r="D1579" s="1048"/>
      <c r="E1579" s="1068"/>
      <c r="F1579" s="1044"/>
      <c r="G1579" s="1077">
        <f t="shared" si="24"/>
        <v>0</v>
      </c>
      <c r="H1579" s="1042" t="str">
        <f>IF(C1579="","",VLOOKUP(C1579,Compte!$A$3:$B$346,2,0))</f>
        <v/>
      </c>
      <c r="I1579" s="1043" t="str">
        <f>IF(D1579="","",VLOOKUP(D1579,Compte!$A$3:$B$346,2,0))</f>
        <v/>
      </c>
    </row>
    <row r="1580" spans="1:9">
      <c r="A1580" s="1206"/>
      <c r="B1580" s="606"/>
      <c r="C1580" s="1046"/>
      <c r="D1580" s="1048"/>
      <c r="E1580" s="1068"/>
      <c r="F1580" s="1044"/>
      <c r="G1580" s="1077">
        <f t="shared" si="24"/>
        <v>0</v>
      </c>
      <c r="H1580" s="1042" t="str">
        <f>IF(C1580="","",VLOOKUP(C1580,Compte!$A$3:$B$346,2,0))</f>
        <v/>
      </c>
      <c r="I1580" s="1043" t="str">
        <f>IF(D1580="","",VLOOKUP(D1580,Compte!$A$3:$B$346,2,0))</f>
        <v/>
      </c>
    </row>
    <row r="1581" spans="1:9">
      <c r="A1581" s="1206"/>
      <c r="B1581" s="606"/>
      <c r="C1581" s="1046"/>
      <c r="D1581" s="1048"/>
      <c r="E1581" s="1068"/>
      <c r="F1581" s="1044"/>
      <c r="G1581" s="1077">
        <f t="shared" si="24"/>
        <v>0</v>
      </c>
      <c r="H1581" s="1042" t="str">
        <f>IF(C1581="","",VLOOKUP(C1581,Compte!$A$3:$B$346,2,0))</f>
        <v/>
      </c>
      <c r="I1581" s="1043" t="str">
        <f>IF(D1581="","",VLOOKUP(D1581,Compte!$A$3:$B$346,2,0))</f>
        <v/>
      </c>
    </row>
    <row r="1582" spans="1:9">
      <c r="A1582" s="1206"/>
      <c r="B1582" s="606"/>
      <c r="C1582" s="1046"/>
      <c r="D1582" s="1048"/>
      <c r="E1582" s="1068"/>
      <c r="F1582" s="1044"/>
      <c r="G1582" s="1077">
        <f t="shared" si="24"/>
        <v>0</v>
      </c>
      <c r="H1582" s="1042" t="str">
        <f>IF(C1582="","",VLOOKUP(C1582,Compte!$A$3:$B$346,2,0))</f>
        <v/>
      </c>
      <c r="I1582" s="1043" t="str">
        <f>IF(D1582="","",VLOOKUP(D1582,Compte!$A$3:$B$346,2,0))</f>
        <v/>
      </c>
    </row>
    <row r="1583" spans="1:9">
      <c r="A1583" s="1206"/>
      <c r="B1583" s="606"/>
      <c r="C1583" s="1046"/>
      <c r="D1583" s="1048"/>
      <c r="E1583" s="1068"/>
      <c r="F1583" s="1044"/>
      <c r="G1583" s="1077">
        <f t="shared" si="24"/>
        <v>0</v>
      </c>
      <c r="H1583" s="1042" t="str">
        <f>IF(C1583="","",VLOOKUP(C1583,Compte!$A$3:$B$346,2,0))</f>
        <v/>
      </c>
      <c r="I1583" s="1043" t="str">
        <f>IF(D1583="","",VLOOKUP(D1583,Compte!$A$3:$B$346,2,0))</f>
        <v/>
      </c>
    </row>
    <row r="1584" spans="1:9">
      <c r="A1584" s="1206"/>
      <c r="B1584" s="606"/>
      <c r="C1584" s="1046"/>
      <c r="D1584" s="1048"/>
      <c r="E1584" s="1068"/>
      <c r="F1584" s="1044"/>
      <c r="G1584" s="1077">
        <f t="shared" si="24"/>
        <v>0</v>
      </c>
      <c r="H1584" s="1042" t="str">
        <f>IF(C1584="","",VLOOKUP(C1584,Compte!$A$3:$B$346,2,0))</f>
        <v/>
      </c>
      <c r="I1584" s="1043" t="str">
        <f>IF(D1584="","",VLOOKUP(D1584,Compte!$A$3:$B$346,2,0))</f>
        <v/>
      </c>
    </row>
    <row r="1585" spans="1:9">
      <c r="A1585" s="1206"/>
      <c r="B1585" s="606"/>
      <c r="C1585" s="1046"/>
      <c r="D1585" s="1048"/>
      <c r="E1585" s="1068"/>
      <c r="F1585" s="1044"/>
      <c r="G1585" s="1077">
        <f t="shared" si="24"/>
        <v>0</v>
      </c>
      <c r="H1585" s="1042" t="str">
        <f>IF(C1585="","",VLOOKUP(C1585,Compte!$A$3:$B$346,2,0))</f>
        <v/>
      </c>
      <c r="I1585" s="1043" t="str">
        <f>IF(D1585="","",VLOOKUP(D1585,Compte!$A$3:$B$346,2,0))</f>
        <v/>
      </c>
    </row>
    <row r="1586" spans="1:9">
      <c r="A1586" s="1206"/>
      <c r="B1586" s="606"/>
      <c r="C1586" s="1046"/>
      <c r="D1586" s="1048"/>
      <c r="E1586" s="1068"/>
      <c r="F1586" s="1044"/>
      <c r="G1586" s="1077">
        <f t="shared" si="24"/>
        <v>0</v>
      </c>
      <c r="H1586" s="1042" t="str">
        <f>IF(C1586="","",VLOOKUP(C1586,Compte!$A$3:$B$346,2,0))</f>
        <v/>
      </c>
      <c r="I1586" s="1043" t="str">
        <f>IF(D1586="","",VLOOKUP(D1586,Compte!$A$3:$B$346,2,0))</f>
        <v/>
      </c>
    </row>
    <row r="1587" spans="1:9">
      <c r="A1587" s="1206"/>
      <c r="B1587" s="606"/>
      <c r="C1587" s="1046"/>
      <c r="D1587" s="1048"/>
      <c r="E1587" s="1068"/>
      <c r="F1587" s="1044"/>
      <c r="G1587" s="1077">
        <f t="shared" si="24"/>
        <v>0</v>
      </c>
      <c r="H1587" s="1042" t="str">
        <f>IF(C1587="","",VLOOKUP(C1587,Compte!$A$3:$B$346,2,0))</f>
        <v/>
      </c>
      <c r="I1587" s="1043" t="str">
        <f>IF(D1587="","",VLOOKUP(D1587,Compte!$A$3:$B$346,2,0))</f>
        <v/>
      </c>
    </row>
    <row r="1588" spans="1:9">
      <c r="A1588" s="1206"/>
      <c r="B1588" s="606"/>
      <c r="C1588" s="1046"/>
      <c r="D1588" s="1048"/>
      <c r="E1588" s="1068"/>
      <c r="F1588" s="1044"/>
      <c r="G1588" s="1077">
        <f t="shared" si="24"/>
        <v>0</v>
      </c>
      <c r="H1588" s="1042" t="str">
        <f>IF(C1588="","",VLOOKUP(C1588,Compte!$A$3:$B$346,2,0))</f>
        <v/>
      </c>
      <c r="I1588" s="1043" t="str">
        <f>IF(D1588="","",VLOOKUP(D1588,Compte!$A$3:$B$346,2,0))</f>
        <v/>
      </c>
    </row>
    <row r="1589" spans="1:9">
      <c r="A1589" s="1206"/>
      <c r="B1589" s="606"/>
      <c r="C1589" s="1046"/>
      <c r="D1589" s="1048"/>
      <c r="E1589" s="1068"/>
      <c r="F1589" s="1044"/>
      <c r="G1589" s="1077">
        <f t="shared" si="24"/>
        <v>0</v>
      </c>
      <c r="H1589" s="1042" t="str">
        <f>IF(C1589="","",VLOOKUP(C1589,Compte!$A$3:$B$346,2,0))</f>
        <v/>
      </c>
      <c r="I1589" s="1043" t="str">
        <f>IF(D1589="","",VLOOKUP(D1589,Compte!$A$3:$B$346,2,0))</f>
        <v/>
      </c>
    </row>
    <row r="1590" spans="1:9">
      <c r="A1590" s="1206"/>
      <c r="B1590" s="606"/>
      <c r="C1590" s="1046"/>
      <c r="D1590" s="1048"/>
      <c r="E1590" s="1068"/>
      <c r="F1590" s="1044"/>
      <c r="G1590" s="1077">
        <f t="shared" si="24"/>
        <v>0</v>
      </c>
      <c r="H1590" s="1042" t="str">
        <f>IF(C1590="","",VLOOKUP(C1590,Compte!$A$3:$B$346,2,0))</f>
        <v/>
      </c>
      <c r="I1590" s="1043" t="str">
        <f>IF(D1590="","",VLOOKUP(D1590,Compte!$A$3:$B$346,2,0))</f>
        <v/>
      </c>
    </row>
    <row r="1591" spans="1:9">
      <c r="A1591" s="1206"/>
      <c r="B1591" s="606"/>
      <c r="C1591" s="1046"/>
      <c r="D1591" s="1048"/>
      <c r="E1591" s="1068"/>
      <c r="F1591" s="1044"/>
      <c r="G1591" s="1077">
        <f t="shared" si="24"/>
        <v>0</v>
      </c>
      <c r="H1591" s="1042" t="str">
        <f>IF(C1591="","",VLOOKUP(C1591,Compte!$A$3:$B$346,2,0))</f>
        <v/>
      </c>
      <c r="I1591" s="1043" t="str">
        <f>IF(D1591="","",VLOOKUP(D1591,Compte!$A$3:$B$346,2,0))</f>
        <v/>
      </c>
    </row>
    <row r="1592" spans="1:9">
      <c r="A1592" s="1206"/>
      <c r="B1592" s="606"/>
      <c r="C1592" s="1046"/>
      <c r="D1592" s="1048"/>
      <c r="E1592" s="1068"/>
      <c r="F1592" s="1044"/>
      <c r="G1592" s="1077">
        <f t="shared" si="24"/>
        <v>0</v>
      </c>
      <c r="H1592" s="1042" t="str">
        <f>IF(C1592="","",VLOOKUP(C1592,Compte!$A$3:$B$346,2,0))</f>
        <v/>
      </c>
      <c r="I1592" s="1043" t="str">
        <f>IF(D1592="","",VLOOKUP(D1592,Compte!$A$3:$B$346,2,0))</f>
        <v/>
      </c>
    </row>
    <row r="1593" spans="1:9">
      <c r="A1593" s="1206"/>
      <c r="B1593" s="606"/>
      <c r="C1593" s="1046"/>
      <c r="D1593" s="1048"/>
      <c r="E1593" s="1068"/>
      <c r="F1593" s="1044"/>
      <c r="G1593" s="1077">
        <f t="shared" si="24"/>
        <v>0</v>
      </c>
      <c r="H1593" s="1042" t="str">
        <f>IF(C1593="","",VLOOKUP(C1593,Compte!$A$3:$B$346,2,0))</f>
        <v/>
      </c>
      <c r="I1593" s="1043" t="str">
        <f>IF(D1593="","",VLOOKUP(D1593,Compte!$A$3:$B$346,2,0))</f>
        <v/>
      </c>
    </row>
    <row r="1594" spans="1:9">
      <c r="A1594" s="1206"/>
      <c r="B1594" s="606"/>
      <c r="C1594" s="1046"/>
      <c r="D1594" s="1048"/>
      <c r="E1594" s="1068"/>
      <c r="F1594" s="1044"/>
      <c r="G1594" s="1077">
        <f t="shared" si="24"/>
        <v>0</v>
      </c>
      <c r="H1594" s="1042" t="str">
        <f>IF(C1594="","",VLOOKUP(C1594,Compte!$A$3:$B$346,2,0))</f>
        <v/>
      </c>
      <c r="I1594" s="1043" t="str">
        <f>IF(D1594="","",VLOOKUP(D1594,Compte!$A$3:$B$346,2,0))</f>
        <v/>
      </c>
    </row>
    <row r="1595" spans="1:9">
      <c r="A1595" s="1206"/>
      <c r="B1595" s="606"/>
      <c r="C1595" s="1046"/>
      <c r="D1595" s="1048"/>
      <c r="E1595" s="1068"/>
      <c r="F1595" s="1044"/>
      <c r="G1595" s="1077">
        <f t="shared" si="24"/>
        <v>0</v>
      </c>
      <c r="H1595" s="1042" t="str">
        <f>IF(C1595="","",VLOOKUP(C1595,Compte!$A$3:$B$346,2,0))</f>
        <v/>
      </c>
      <c r="I1595" s="1043" t="str">
        <f>IF(D1595="","",VLOOKUP(D1595,Compte!$A$3:$B$346,2,0))</f>
        <v/>
      </c>
    </row>
    <row r="1596" spans="1:9">
      <c r="A1596" s="1206"/>
      <c r="B1596" s="606"/>
      <c r="C1596" s="1046"/>
      <c r="D1596" s="1048"/>
      <c r="E1596" s="1068"/>
      <c r="F1596" s="1044"/>
      <c r="G1596" s="1077">
        <f t="shared" si="24"/>
        <v>0</v>
      </c>
      <c r="H1596" s="1042" t="str">
        <f>IF(C1596="","",VLOOKUP(C1596,Compte!$A$3:$B$346,2,0))</f>
        <v/>
      </c>
      <c r="I1596" s="1043" t="str">
        <f>IF(D1596="","",VLOOKUP(D1596,Compte!$A$3:$B$346,2,0))</f>
        <v/>
      </c>
    </row>
    <row r="1597" spans="1:9">
      <c r="A1597" s="1206"/>
      <c r="B1597" s="606"/>
      <c r="C1597" s="1046"/>
      <c r="D1597" s="1048"/>
      <c r="E1597" s="1068"/>
      <c r="F1597" s="1044"/>
      <c r="G1597" s="1077">
        <f t="shared" si="24"/>
        <v>0</v>
      </c>
      <c r="H1597" s="1042" t="str">
        <f>IF(C1597="","",VLOOKUP(C1597,Compte!$A$3:$B$346,2,0))</f>
        <v/>
      </c>
      <c r="I1597" s="1043" t="str">
        <f>IF(D1597="","",VLOOKUP(D1597,Compte!$A$3:$B$346,2,0))</f>
        <v/>
      </c>
    </row>
    <row r="1598" spans="1:9">
      <c r="A1598" s="1206"/>
      <c r="B1598" s="606"/>
      <c r="C1598" s="1046"/>
      <c r="D1598" s="1048"/>
      <c r="E1598" s="1068"/>
      <c r="F1598" s="1044"/>
      <c r="G1598" s="1077">
        <f t="shared" si="24"/>
        <v>0</v>
      </c>
      <c r="H1598" s="1042" t="str">
        <f>IF(C1598="","",VLOOKUP(C1598,Compte!$A$3:$B$346,2,0))</f>
        <v/>
      </c>
      <c r="I1598" s="1043" t="str">
        <f>IF(D1598="","",VLOOKUP(D1598,Compte!$A$3:$B$346,2,0))</f>
        <v/>
      </c>
    </row>
    <row r="1599" spans="1:9">
      <c r="A1599" s="1206"/>
      <c r="B1599" s="606"/>
      <c r="C1599" s="1046"/>
      <c r="D1599" s="1048"/>
      <c r="E1599" s="1068"/>
      <c r="F1599" s="1044"/>
      <c r="G1599" s="1077">
        <f t="shared" si="24"/>
        <v>0</v>
      </c>
      <c r="H1599" s="1042" t="str">
        <f>IF(C1599="","",VLOOKUP(C1599,Compte!$A$3:$B$346,2,0))</f>
        <v/>
      </c>
      <c r="I1599" s="1043" t="str">
        <f>IF(D1599="","",VLOOKUP(D1599,Compte!$A$3:$B$346,2,0))</f>
        <v/>
      </c>
    </row>
    <row r="1600" spans="1:9">
      <c r="A1600" s="1206"/>
      <c r="B1600" s="606"/>
      <c r="C1600" s="1046"/>
      <c r="D1600" s="1048"/>
      <c r="E1600" s="1068"/>
      <c r="F1600" s="1044"/>
      <c r="G1600" s="1077">
        <f t="shared" si="24"/>
        <v>0</v>
      </c>
      <c r="H1600" s="1042" t="str">
        <f>IF(C1600="","",VLOOKUP(C1600,Compte!$A$3:$B$346,2,0))</f>
        <v/>
      </c>
      <c r="I1600" s="1043" t="str">
        <f>IF(D1600="","",VLOOKUP(D1600,Compte!$A$3:$B$346,2,0))</f>
        <v/>
      </c>
    </row>
    <row r="1601" spans="1:9">
      <c r="A1601" s="1206"/>
      <c r="B1601" s="606"/>
      <c r="C1601" s="1046"/>
      <c r="D1601" s="1048"/>
      <c r="E1601" s="1068"/>
      <c r="F1601" s="1044"/>
      <c r="G1601" s="1077">
        <f t="shared" si="24"/>
        <v>0</v>
      </c>
      <c r="H1601" s="1042" t="str">
        <f>IF(C1601="","",VLOOKUP(C1601,Compte!$A$3:$B$346,2,0))</f>
        <v/>
      </c>
      <c r="I1601" s="1043" t="str">
        <f>IF(D1601="","",VLOOKUP(D1601,Compte!$A$3:$B$346,2,0))</f>
        <v/>
      </c>
    </row>
    <row r="1602" spans="1:9">
      <c r="A1602" s="1206"/>
      <c r="B1602" s="606"/>
      <c r="C1602" s="1046"/>
      <c r="D1602" s="1048"/>
      <c r="E1602" s="1068"/>
      <c r="F1602" s="1044"/>
      <c r="G1602" s="1077">
        <f t="shared" si="24"/>
        <v>0</v>
      </c>
      <c r="H1602" s="1042" t="str">
        <f>IF(C1602="","",VLOOKUP(C1602,Compte!$A$3:$B$346,2,0))</f>
        <v/>
      </c>
      <c r="I1602" s="1043" t="str">
        <f>IF(D1602="","",VLOOKUP(D1602,Compte!$A$3:$B$346,2,0))</f>
        <v/>
      </c>
    </row>
    <row r="1603" spans="1:9">
      <c r="A1603" s="1206"/>
      <c r="B1603" s="606"/>
      <c r="C1603" s="1046"/>
      <c r="D1603" s="1048"/>
      <c r="E1603" s="1068"/>
      <c r="F1603" s="1044"/>
      <c r="G1603" s="1077">
        <f t="shared" si="24"/>
        <v>0</v>
      </c>
      <c r="H1603" s="1042" t="str">
        <f>IF(C1603="","",VLOOKUP(C1603,Compte!$A$3:$B$346,2,0))</f>
        <v/>
      </c>
      <c r="I1603" s="1043" t="str">
        <f>IF(D1603="","",VLOOKUP(D1603,Compte!$A$3:$B$346,2,0))</f>
        <v/>
      </c>
    </row>
    <row r="1604" spans="1:9">
      <c r="A1604" s="1206"/>
      <c r="B1604" s="606"/>
      <c r="C1604" s="1046"/>
      <c r="D1604" s="1048"/>
      <c r="E1604" s="1068"/>
      <c r="F1604" s="1044"/>
      <c r="G1604" s="1077">
        <f t="shared" si="24"/>
        <v>0</v>
      </c>
      <c r="H1604" s="1042" t="str">
        <f>IF(C1604="","",VLOOKUP(C1604,Compte!$A$3:$B$346,2,0))</f>
        <v/>
      </c>
      <c r="I1604" s="1043" t="str">
        <f>IF(D1604="","",VLOOKUP(D1604,Compte!$A$3:$B$346,2,0))</f>
        <v/>
      </c>
    </row>
    <row r="1605" spans="1:9">
      <c r="A1605" s="1206"/>
      <c r="B1605" s="606"/>
      <c r="C1605" s="1046"/>
      <c r="D1605" s="1048"/>
      <c r="E1605" s="1068"/>
      <c r="F1605" s="1044"/>
      <c r="G1605" s="1077">
        <f t="shared" si="24"/>
        <v>0</v>
      </c>
      <c r="H1605" s="1042" t="str">
        <f>IF(C1605="","",VLOOKUP(C1605,Compte!$A$3:$B$346,2,0))</f>
        <v/>
      </c>
      <c r="I1605" s="1043" t="str">
        <f>IF(D1605="","",VLOOKUP(D1605,Compte!$A$3:$B$346,2,0))</f>
        <v/>
      </c>
    </row>
    <row r="1606" spans="1:9">
      <c r="A1606" s="1206"/>
      <c r="B1606" s="606"/>
      <c r="C1606" s="1046"/>
      <c r="D1606" s="1048"/>
      <c r="E1606" s="1068"/>
      <c r="F1606" s="1044"/>
      <c r="G1606" s="1077">
        <f t="shared" si="24"/>
        <v>0</v>
      </c>
      <c r="H1606" s="1042" t="str">
        <f>IF(C1606="","",VLOOKUP(C1606,Compte!$A$3:$B$346,2,0))</f>
        <v/>
      </c>
      <c r="I1606" s="1043" t="str">
        <f>IF(D1606="","",VLOOKUP(D1606,Compte!$A$3:$B$346,2,0))</f>
        <v/>
      </c>
    </row>
    <row r="1607" spans="1:9">
      <c r="A1607" s="1206"/>
      <c r="B1607" s="606"/>
      <c r="C1607" s="1046"/>
      <c r="D1607" s="1048"/>
      <c r="E1607" s="1068"/>
      <c r="F1607" s="1044"/>
      <c r="G1607" s="1077">
        <f t="shared" si="24"/>
        <v>0</v>
      </c>
      <c r="H1607" s="1042" t="str">
        <f>IF(C1607="","",VLOOKUP(C1607,Compte!$A$3:$B$346,2,0))</f>
        <v/>
      </c>
      <c r="I1607" s="1043" t="str">
        <f>IF(D1607="","",VLOOKUP(D1607,Compte!$A$3:$B$346,2,0))</f>
        <v/>
      </c>
    </row>
    <row r="1608" spans="1:9">
      <c r="A1608" s="1206"/>
      <c r="B1608" s="606"/>
      <c r="C1608" s="1046"/>
      <c r="D1608" s="1048"/>
      <c r="E1608" s="1068"/>
      <c r="F1608" s="1044"/>
      <c r="G1608" s="1077">
        <f t="shared" ref="G1608:G1671" si="25">IF(C1608="",F1608,E1608)</f>
        <v>0</v>
      </c>
      <c r="H1608" s="1042" t="str">
        <f>IF(C1608="","",VLOOKUP(C1608,Compte!$A$3:$B$346,2,0))</f>
        <v/>
      </c>
      <c r="I1608" s="1043" t="str">
        <f>IF(D1608="","",VLOOKUP(D1608,Compte!$A$3:$B$346,2,0))</f>
        <v/>
      </c>
    </row>
    <row r="1609" spans="1:9">
      <c r="A1609" s="1206"/>
      <c r="B1609" s="606"/>
      <c r="C1609" s="1046"/>
      <c r="D1609" s="1048"/>
      <c r="E1609" s="1068"/>
      <c r="F1609" s="1044"/>
      <c r="G1609" s="1077">
        <f t="shared" si="25"/>
        <v>0</v>
      </c>
      <c r="H1609" s="1042" t="str">
        <f>IF(C1609="","",VLOOKUP(C1609,Compte!$A$3:$B$346,2,0))</f>
        <v/>
      </c>
      <c r="I1609" s="1043" t="str">
        <f>IF(D1609="","",VLOOKUP(D1609,Compte!$A$3:$B$346,2,0))</f>
        <v/>
      </c>
    </row>
    <row r="1610" spans="1:9">
      <c r="A1610" s="1206"/>
      <c r="B1610" s="606"/>
      <c r="C1610" s="1046"/>
      <c r="D1610" s="1048"/>
      <c r="E1610" s="1068"/>
      <c r="F1610" s="1044"/>
      <c r="G1610" s="1077">
        <f t="shared" si="25"/>
        <v>0</v>
      </c>
      <c r="H1610" s="1042" t="str">
        <f>IF(C1610="","",VLOOKUP(C1610,Compte!$A$3:$B$346,2,0))</f>
        <v/>
      </c>
      <c r="I1610" s="1043" t="str">
        <f>IF(D1610="","",VLOOKUP(D1610,Compte!$A$3:$B$346,2,0))</f>
        <v/>
      </c>
    </row>
    <row r="1611" spans="1:9">
      <c r="A1611" s="1206"/>
      <c r="B1611" s="606"/>
      <c r="C1611" s="1046"/>
      <c r="D1611" s="1048"/>
      <c r="E1611" s="1068"/>
      <c r="F1611" s="1044"/>
      <c r="G1611" s="1077">
        <f t="shared" si="25"/>
        <v>0</v>
      </c>
      <c r="H1611" s="1042" t="str">
        <f>IF(C1611="","",VLOOKUP(C1611,Compte!$A$3:$B$346,2,0))</f>
        <v/>
      </c>
      <c r="I1611" s="1043" t="str">
        <f>IF(D1611="","",VLOOKUP(D1611,Compte!$A$3:$B$346,2,0))</f>
        <v/>
      </c>
    </row>
    <row r="1612" spans="1:9">
      <c r="A1612" s="1206"/>
      <c r="B1612" s="606"/>
      <c r="C1612" s="1046"/>
      <c r="D1612" s="1048"/>
      <c r="E1612" s="1068"/>
      <c r="F1612" s="1044"/>
      <c r="G1612" s="1077">
        <f t="shared" si="25"/>
        <v>0</v>
      </c>
      <c r="H1612" s="1042" t="str">
        <f>IF(C1612="","",VLOOKUP(C1612,Compte!$A$3:$B$346,2,0))</f>
        <v/>
      </c>
      <c r="I1612" s="1043" t="str">
        <f>IF(D1612="","",VLOOKUP(D1612,Compte!$A$3:$B$346,2,0))</f>
        <v/>
      </c>
    </row>
    <row r="1613" spans="1:9">
      <c r="A1613" s="1206"/>
      <c r="B1613" s="606"/>
      <c r="C1613" s="1046"/>
      <c r="D1613" s="1048"/>
      <c r="E1613" s="1068"/>
      <c r="F1613" s="1044"/>
      <c r="G1613" s="1077">
        <f t="shared" si="25"/>
        <v>0</v>
      </c>
      <c r="H1613" s="1042" t="str">
        <f>IF(C1613="","",VLOOKUP(C1613,Compte!$A$3:$B$346,2,0))</f>
        <v/>
      </c>
      <c r="I1613" s="1043" t="str">
        <f>IF(D1613="","",VLOOKUP(D1613,Compte!$A$3:$B$346,2,0))</f>
        <v/>
      </c>
    </row>
    <row r="1614" spans="1:9">
      <c r="A1614" s="1206"/>
      <c r="B1614" s="606"/>
      <c r="C1614" s="1046"/>
      <c r="D1614" s="1048"/>
      <c r="E1614" s="1068"/>
      <c r="F1614" s="1044"/>
      <c r="G1614" s="1077">
        <f t="shared" si="25"/>
        <v>0</v>
      </c>
      <c r="H1614" s="1042" t="str">
        <f>IF(C1614="","",VLOOKUP(C1614,Compte!$A$3:$B$346,2,0))</f>
        <v/>
      </c>
      <c r="I1614" s="1043" t="str">
        <f>IF(D1614="","",VLOOKUP(D1614,Compte!$A$3:$B$346,2,0))</f>
        <v/>
      </c>
    </row>
    <row r="1615" spans="1:9">
      <c r="A1615" s="1206"/>
      <c r="B1615" s="606"/>
      <c r="C1615" s="1046"/>
      <c r="D1615" s="1048"/>
      <c r="E1615" s="1068"/>
      <c r="F1615" s="1044"/>
      <c r="G1615" s="1077">
        <f t="shared" si="25"/>
        <v>0</v>
      </c>
      <c r="H1615" s="1042" t="str">
        <f>IF(C1615="","",VLOOKUP(C1615,Compte!$A$3:$B$346,2,0))</f>
        <v/>
      </c>
      <c r="I1615" s="1043" t="str">
        <f>IF(D1615="","",VLOOKUP(D1615,Compte!$A$3:$B$346,2,0))</f>
        <v/>
      </c>
    </row>
    <row r="1616" spans="1:9">
      <c r="A1616" s="1206"/>
      <c r="B1616" s="606"/>
      <c r="C1616" s="1046"/>
      <c r="D1616" s="1048"/>
      <c r="E1616" s="1068"/>
      <c r="F1616" s="1044"/>
      <c r="G1616" s="1077">
        <f t="shared" si="25"/>
        <v>0</v>
      </c>
      <c r="H1616" s="1042" t="str">
        <f>IF(C1616="","",VLOOKUP(C1616,Compte!$A$3:$B$346,2,0))</f>
        <v/>
      </c>
      <c r="I1616" s="1043" t="str">
        <f>IF(D1616="","",VLOOKUP(D1616,Compte!$A$3:$B$346,2,0))</f>
        <v/>
      </c>
    </row>
    <row r="1617" spans="1:9">
      <c r="A1617" s="1206"/>
      <c r="B1617" s="606"/>
      <c r="C1617" s="1046"/>
      <c r="D1617" s="1048"/>
      <c r="E1617" s="1068"/>
      <c r="F1617" s="1044"/>
      <c r="G1617" s="1077">
        <f t="shared" si="25"/>
        <v>0</v>
      </c>
      <c r="H1617" s="1042" t="str">
        <f>IF(C1617="","",VLOOKUP(C1617,Compte!$A$3:$B$346,2,0))</f>
        <v/>
      </c>
      <c r="I1617" s="1043" t="str">
        <f>IF(D1617="","",VLOOKUP(D1617,Compte!$A$3:$B$346,2,0))</f>
        <v/>
      </c>
    </row>
    <row r="1618" spans="1:9">
      <c r="A1618" s="1206"/>
      <c r="B1618" s="606"/>
      <c r="C1618" s="1046"/>
      <c r="D1618" s="1048"/>
      <c r="E1618" s="1068"/>
      <c r="F1618" s="1044"/>
      <c r="G1618" s="1077">
        <f t="shared" si="25"/>
        <v>0</v>
      </c>
      <c r="H1618" s="1042" t="str">
        <f>IF(C1618="","",VLOOKUP(C1618,Compte!$A$3:$B$346,2,0))</f>
        <v/>
      </c>
      <c r="I1618" s="1043" t="str">
        <f>IF(D1618="","",VLOOKUP(D1618,Compte!$A$3:$B$346,2,0))</f>
        <v/>
      </c>
    </row>
    <row r="1619" spans="1:9">
      <c r="A1619" s="1206"/>
      <c r="B1619" s="606"/>
      <c r="C1619" s="1046"/>
      <c r="D1619" s="1048"/>
      <c r="E1619" s="1068"/>
      <c r="F1619" s="1044"/>
      <c r="G1619" s="1077">
        <f t="shared" si="25"/>
        <v>0</v>
      </c>
      <c r="H1619" s="1042" t="str">
        <f>IF(C1619="","",VLOOKUP(C1619,Compte!$A$3:$B$346,2,0))</f>
        <v/>
      </c>
      <c r="I1619" s="1043" t="str">
        <f>IF(D1619="","",VLOOKUP(D1619,Compte!$A$3:$B$346,2,0))</f>
        <v/>
      </c>
    </row>
    <row r="1620" spans="1:9">
      <c r="A1620" s="1206"/>
      <c r="B1620" s="606"/>
      <c r="C1620" s="1046"/>
      <c r="D1620" s="1048"/>
      <c r="E1620" s="1068"/>
      <c r="F1620" s="1044"/>
      <c r="G1620" s="1077">
        <f t="shared" si="25"/>
        <v>0</v>
      </c>
      <c r="H1620" s="1042" t="str">
        <f>IF(C1620="","",VLOOKUP(C1620,Compte!$A$3:$B$346,2,0))</f>
        <v/>
      </c>
      <c r="I1620" s="1043" t="str">
        <f>IF(D1620="","",VLOOKUP(D1620,Compte!$A$3:$B$346,2,0))</f>
        <v/>
      </c>
    </row>
    <row r="1621" spans="1:9">
      <c r="A1621" s="1206"/>
      <c r="B1621" s="606"/>
      <c r="C1621" s="1046"/>
      <c r="D1621" s="1048"/>
      <c r="E1621" s="1068"/>
      <c r="F1621" s="1044"/>
      <c r="G1621" s="1077">
        <f t="shared" si="25"/>
        <v>0</v>
      </c>
      <c r="H1621" s="1042" t="str">
        <f>IF(C1621="","",VLOOKUP(C1621,Compte!$A$3:$B$346,2,0))</f>
        <v/>
      </c>
      <c r="I1621" s="1043" t="str">
        <f>IF(D1621="","",VLOOKUP(D1621,Compte!$A$3:$B$346,2,0))</f>
        <v/>
      </c>
    </row>
    <row r="1622" spans="1:9">
      <c r="A1622" s="1206"/>
      <c r="B1622" s="606"/>
      <c r="C1622" s="1046"/>
      <c r="D1622" s="1048"/>
      <c r="E1622" s="1068"/>
      <c r="F1622" s="1044"/>
      <c r="G1622" s="1077">
        <f t="shared" si="25"/>
        <v>0</v>
      </c>
      <c r="H1622" s="1042" t="str">
        <f>IF(C1622="","",VLOOKUP(C1622,Compte!$A$3:$B$346,2,0))</f>
        <v/>
      </c>
      <c r="I1622" s="1043" t="str">
        <f>IF(D1622="","",VLOOKUP(D1622,Compte!$A$3:$B$346,2,0))</f>
        <v/>
      </c>
    </row>
    <row r="1623" spans="1:9">
      <c r="A1623" s="1206"/>
      <c r="B1623" s="606"/>
      <c r="C1623" s="1046"/>
      <c r="D1623" s="1048"/>
      <c r="E1623" s="1068"/>
      <c r="F1623" s="1044"/>
      <c r="G1623" s="1077">
        <f t="shared" si="25"/>
        <v>0</v>
      </c>
      <c r="H1623" s="1042" t="str">
        <f>IF(C1623="","",VLOOKUP(C1623,Compte!$A$3:$B$346,2,0))</f>
        <v/>
      </c>
      <c r="I1623" s="1043" t="str">
        <f>IF(D1623="","",VLOOKUP(D1623,Compte!$A$3:$B$346,2,0))</f>
        <v/>
      </c>
    </row>
    <row r="1624" spans="1:9">
      <c r="A1624" s="1206"/>
      <c r="B1624" s="606"/>
      <c r="C1624" s="1046"/>
      <c r="D1624" s="1048"/>
      <c r="E1624" s="1068"/>
      <c r="F1624" s="1044"/>
      <c r="G1624" s="1077">
        <f t="shared" si="25"/>
        <v>0</v>
      </c>
      <c r="H1624" s="1042" t="str">
        <f>IF(C1624="","",VLOOKUP(C1624,Compte!$A$3:$B$346,2,0))</f>
        <v/>
      </c>
      <c r="I1624" s="1043" t="str">
        <f>IF(D1624="","",VLOOKUP(D1624,Compte!$A$3:$B$346,2,0))</f>
        <v/>
      </c>
    </row>
    <row r="1625" spans="1:9">
      <c r="A1625" s="1206"/>
      <c r="B1625" s="606"/>
      <c r="C1625" s="1046"/>
      <c r="D1625" s="1048"/>
      <c r="E1625" s="1068"/>
      <c r="F1625" s="1044"/>
      <c r="G1625" s="1077">
        <f t="shared" si="25"/>
        <v>0</v>
      </c>
      <c r="H1625" s="1042" t="str">
        <f>IF(C1625="","",VLOOKUP(C1625,Compte!$A$3:$B$346,2,0))</f>
        <v/>
      </c>
      <c r="I1625" s="1043" t="str">
        <f>IF(D1625="","",VLOOKUP(D1625,Compte!$A$3:$B$346,2,0))</f>
        <v/>
      </c>
    </row>
    <row r="1626" spans="1:9">
      <c r="A1626" s="1206"/>
      <c r="B1626" s="606"/>
      <c r="C1626" s="1046"/>
      <c r="D1626" s="1048"/>
      <c r="E1626" s="1068"/>
      <c r="F1626" s="1044"/>
      <c r="G1626" s="1077">
        <f t="shared" si="25"/>
        <v>0</v>
      </c>
      <c r="H1626" s="1042" t="str">
        <f>IF(C1626="","",VLOOKUP(C1626,Compte!$A$3:$B$346,2,0))</f>
        <v/>
      </c>
      <c r="I1626" s="1043" t="str">
        <f>IF(D1626="","",VLOOKUP(D1626,Compte!$A$3:$B$346,2,0))</f>
        <v/>
      </c>
    </row>
    <row r="1627" spans="1:9">
      <c r="A1627" s="1206"/>
      <c r="B1627" s="606"/>
      <c r="C1627" s="1046"/>
      <c r="D1627" s="1048"/>
      <c r="E1627" s="1068"/>
      <c r="F1627" s="1044"/>
      <c r="G1627" s="1077">
        <f t="shared" si="25"/>
        <v>0</v>
      </c>
      <c r="H1627" s="1042" t="str">
        <f>IF(C1627="","",VLOOKUP(C1627,Compte!$A$3:$B$346,2,0))</f>
        <v/>
      </c>
      <c r="I1627" s="1043" t="str">
        <f>IF(D1627="","",VLOOKUP(D1627,Compte!$A$3:$B$346,2,0))</f>
        <v/>
      </c>
    </row>
    <row r="1628" spans="1:9">
      <c r="A1628" s="1206"/>
      <c r="B1628" s="606"/>
      <c r="C1628" s="1046"/>
      <c r="D1628" s="1048"/>
      <c r="E1628" s="1068"/>
      <c r="F1628" s="1044"/>
      <c r="G1628" s="1077">
        <f t="shared" si="25"/>
        <v>0</v>
      </c>
      <c r="H1628" s="1042" t="str">
        <f>IF(C1628="","",VLOOKUP(C1628,Compte!$A$3:$B$346,2,0))</f>
        <v/>
      </c>
      <c r="I1628" s="1043" t="str">
        <f>IF(D1628="","",VLOOKUP(D1628,Compte!$A$3:$B$346,2,0))</f>
        <v/>
      </c>
    </row>
    <row r="1629" spans="1:9">
      <c r="A1629" s="1206"/>
      <c r="B1629" s="606"/>
      <c r="C1629" s="1046"/>
      <c r="D1629" s="1048"/>
      <c r="E1629" s="1068"/>
      <c r="F1629" s="1044"/>
      <c r="G1629" s="1077">
        <f t="shared" si="25"/>
        <v>0</v>
      </c>
      <c r="H1629" s="1042" t="str">
        <f>IF(C1629="","",VLOOKUP(C1629,Compte!$A$3:$B$346,2,0))</f>
        <v/>
      </c>
      <c r="I1629" s="1043" t="str">
        <f>IF(D1629="","",VLOOKUP(D1629,Compte!$A$3:$B$346,2,0))</f>
        <v/>
      </c>
    </row>
    <row r="1630" spans="1:9">
      <c r="A1630" s="1206"/>
      <c r="B1630" s="606"/>
      <c r="C1630" s="1046"/>
      <c r="D1630" s="1048"/>
      <c r="E1630" s="1068"/>
      <c r="F1630" s="1044"/>
      <c r="G1630" s="1077">
        <f t="shared" si="25"/>
        <v>0</v>
      </c>
      <c r="H1630" s="1042" t="str">
        <f>IF(C1630="","",VLOOKUP(C1630,Compte!$A$3:$B$346,2,0))</f>
        <v/>
      </c>
      <c r="I1630" s="1043" t="str">
        <f>IF(D1630="","",VLOOKUP(D1630,Compte!$A$3:$B$346,2,0))</f>
        <v/>
      </c>
    </row>
    <row r="1631" spans="1:9">
      <c r="A1631" s="1206"/>
      <c r="B1631" s="606"/>
      <c r="C1631" s="1046"/>
      <c r="D1631" s="1048"/>
      <c r="E1631" s="1068"/>
      <c r="F1631" s="1044"/>
      <c r="G1631" s="1077">
        <f t="shared" si="25"/>
        <v>0</v>
      </c>
      <c r="H1631" s="1042" t="str">
        <f>IF(C1631="","",VLOOKUP(C1631,Compte!$A$3:$B$346,2,0))</f>
        <v/>
      </c>
      <c r="I1631" s="1043" t="str">
        <f>IF(D1631="","",VLOOKUP(D1631,Compte!$A$3:$B$346,2,0))</f>
        <v/>
      </c>
    </row>
    <row r="1632" spans="1:9">
      <c r="A1632" s="1206"/>
      <c r="B1632" s="606"/>
      <c r="C1632" s="1046"/>
      <c r="D1632" s="1048"/>
      <c r="E1632" s="1068"/>
      <c r="F1632" s="1044"/>
      <c r="G1632" s="1077">
        <f t="shared" si="25"/>
        <v>0</v>
      </c>
      <c r="H1632" s="1042" t="str">
        <f>IF(C1632="","",VLOOKUP(C1632,Compte!$A$3:$B$346,2,0))</f>
        <v/>
      </c>
      <c r="I1632" s="1043" t="str">
        <f>IF(D1632="","",VLOOKUP(D1632,Compte!$A$3:$B$346,2,0))</f>
        <v/>
      </c>
    </row>
    <row r="1633" spans="1:9">
      <c r="A1633" s="1206"/>
      <c r="B1633" s="606"/>
      <c r="C1633" s="1046"/>
      <c r="D1633" s="1048"/>
      <c r="E1633" s="1068"/>
      <c r="F1633" s="1044"/>
      <c r="G1633" s="1077">
        <f t="shared" si="25"/>
        <v>0</v>
      </c>
      <c r="H1633" s="1042" t="str">
        <f>IF(C1633="","",VLOOKUP(C1633,Compte!$A$3:$B$346,2,0))</f>
        <v/>
      </c>
      <c r="I1633" s="1043" t="str">
        <f>IF(D1633="","",VLOOKUP(D1633,Compte!$A$3:$B$346,2,0))</f>
        <v/>
      </c>
    </row>
    <row r="1634" spans="1:9">
      <c r="A1634" s="1206"/>
      <c r="B1634" s="606"/>
      <c r="C1634" s="1046"/>
      <c r="D1634" s="1048"/>
      <c r="E1634" s="1068"/>
      <c r="F1634" s="1044"/>
      <c r="G1634" s="1077">
        <f t="shared" si="25"/>
        <v>0</v>
      </c>
      <c r="H1634" s="1042" t="str">
        <f>IF(C1634="","",VLOOKUP(C1634,Compte!$A$3:$B$346,2,0))</f>
        <v/>
      </c>
      <c r="I1634" s="1043" t="str">
        <f>IF(D1634="","",VLOOKUP(D1634,Compte!$A$3:$B$346,2,0))</f>
        <v/>
      </c>
    </row>
    <row r="1635" spans="1:9">
      <c r="A1635" s="1206"/>
      <c r="B1635" s="606"/>
      <c r="C1635" s="1046"/>
      <c r="D1635" s="1048"/>
      <c r="E1635" s="1068"/>
      <c r="F1635" s="1044"/>
      <c r="G1635" s="1077">
        <f t="shared" si="25"/>
        <v>0</v>
      </c>
      <c r="H1635" s="1042" t="str">
        <f>IF(C1635="","",VLOOKUP(C1635,Compte!$A$3:$B$346,2,0))</f>
        <v/>
      </c>
      <c r="I1635" s="1043" t="str">
        <f>IF(D1635="","",VLOOKUP(D1635,Compte!$A$3:$B$346,2,0))</f>
        <v/>
      </c>
    </row>
    <row r="1636" spans="1:9">
      <c r="A1636" s="1206"/>
      <c r="B1636" s="606"/>
      <c r="C1636" s="1046"/>
      <c r="D1636" s="1048"/>
      <c r="E1636" s="1068"/>
      <c r="F1636" s="1044"/>
      <c r="G1636" s="1077">
        <f t="shared" si="25"/>
        <v>0</v>
      </c>
      <c r="H1636" s="1042" t="str">
        <f>IF(C1636="","",VLOOKUP(C1636,Compte!$A$3:$B$346,2,0))</f>
        <v/>
      </c>
      <c r="I1636" s="1043" t="str">
        <f>IF(D1636="","",VLOOKUP(D1636,Compte!$A$3:$B$346,2,0))</f>
        <v/>
      </c>
    </row>
    <row r="1637" spans="1:9">
      <c r="A1637" s="1206"/>
      <c r="B1637" s="606"/>
      <c r="C1637" s="1046"/>
      <c r="D1637" s="1048"/>
      <c r="E1637" s="1068"/>
      <c r="F1637" s="1044"/>
      <c r="G1637" s="1077">
        <f t="shared" si="25"/>
        <v>0</v>
      </c>
      <c r="H1637" s="1042" t="str">
        <f>IF(C1637="","",VLOOKUP(C1637,Compte!$A$3:$B$346,2,0))</f>
        <v/>
      </c>
      <c r="I1637" s="1043" t="str">
        <f>IF(D1637="","",VLOOKUP(D1637,Compte!$A$3:$B$346,2,0))</f>
        <v/>
      </c>
    </row>
    <row r="1638" spans="1:9">
      <c r="A1638" s="1206"/>
      <c r="B1638" s="606"/>
      <c r="C1638" s="1046"/>
      <c r="D1638" s="1048"/>
      <c r="E1638" s="1068"/>
      <c r="F1638" s="1044"/>
      <c r="G1638" s="1077">
        <f t="shared" si="25"/>
        <v>0</v>
      </c>
      <c r="H1638" s="1042" t="str">
        <f>IF(C1638="","",VLOOKUP(C1638,Compte!$A$3:$B$346,2,0))</f>
        <v/>
      </c>
      <c r="I1638" s="1043" t="str">
        <f>IF(D1638="","",VLOOKUP(D1638,Compte!$A$3:$B$346,2,0))</f>
        <v/>
      </c>
    </row>
    <row r="1639" spans="1:9">
      <c r="A1639" s="1206"/>
      <c r="B1639" s="606"/>
      <c r="C1639" s="1046"/>
      <c r="D1639" s="1048"/>
      <c r="E1639" s="1068"/>
      <c r="F1639" s="1044"/>
      <c r="G1639" s="1077">
        <f t="shared" si="25"/>
        <v>0</v>
      </c>
      <c r="H1639" s="1042" t="str">
        <f>IF(C1639="","",VLOOKUP(C1639,Compte!$A$3:$B$346,2,0))</f>
        <v/>
      </c>
      <c r="I1639" s="1043" t="str">
        <f>IF(D1639="","",VLOOKUP(D1639,Compte!$A$3:$B$346,2,0))</f>
        <v/>
      </c>
    </row>
    <row r="1640" spans="1:9">
      <c r="A1640" s="1206"/>
      <c r="B1640" s="606"/>
      <c r="C1640" s="1046"/>
      <c r="D1640" s="1048"/>
      <c r="E1640" s="1068"/>
      <c r="F1640" s="1044"/>
      <c r="G1640" s="1077">
        <f t="shared" si="25"/>
        <v>0</v>
      </c>
      <c r="H1640" s="1042" t="str">
        <f>IF(C1640="","",VLOOKUP(C1640,Compte!$A$3:$B$346,2,0))</f>
        <v/>
      </c>
      <c r="I1640" s="1043" t="str">
        <f>IF(D1640="","",VLOOKUP(D1640,Compte!$A$3:$B$346,2,0))</f>
        <v/>
      </c>
    </row>
    <row r="1641" spans="1:9">
      <c r="A1641" s="1206"/>
      <c r="B1641" s="606"/>
      <c r="C1641" s="1046"/>
      <c r="D1641" s="1048"/>
      <c r="E1641" s="1068"/>
      <c r="F1641" s="1044"/>
      <c r="G1641" s="1077">
        <f t="shared" si="25"/>
        <v>0</v>
      </c>
      <c r="H1641" s="1042" t="str">
        <f>IF(C1641="","",VLOOKUP(C1641,Compte!$A$3:$B$346,2,0))</f>
        <v/>
      </c>
      <c r="I1641" s="1043" t="str">
        <f>IF(D1641="","",VLOOKUP(D1641,Compte!$A$3:$B$346,2,0))</f>
        <v/>
      </c>
    </row>
    <row r="1642" spans="1:9">
      <c r="A1642" s="1206"/>
      <c r="B1642" s="606"/>
      <c r="C1642" s="1046"/>
      <c r="D1642" s="1048"/>
      <c r="E1642" s="1068"/>
      <c r="F1642" s="1044"/>
      <c r="G1642" s="1077">
        <f t="shared" si="25"/>
        <v>0</v>
      </c>
      <c r="H1642" s="1042" t="str">
        <f>IF(C1642="","",VLOOKUP(C1642,Compte!$A$3:$B$346,2,0))</f>
        <v/>
      </c>
      <c r="I1642" s="1043" t="str">
        <f>IF(D1642="","",VLOOKUP(D1642,Compte!$A$3:$B$346,2,0))</f>
        <v/>
      </c>
    </row>
    <row r="1643" spans="1:9">
      <c r="A1643" s="1206"/>
      <c r="B1643" s="606"/>
      <c r="C1643" s="1046"/>
      <c r="D1643" s="1048"/>
      <c r="E1643" s="1068"/>
      <c r="F1643" s="1044"/>
      <c r="G1643" s="1077">
        <f t="shared" si="25"/>
        <v>0</v>
      </c>
      <c r="H1643" s="1042" t="str">
        <f>IF(C1643="","",VLOOKUP(C1643,Compte!$A$3:$B$346,2,0))</f>
        <v/>
      </c>
      <c r="I1643" s="1043" t="str">
        <f>IF(D1643="","",VLOOKUP(D1643,Compte!$A$3:$B$346,2,0))</f>
        <v/>
      </c>
    </row>
    <row r="1644" spans="1:9">
      <c r="A1644" s="1206"/>
      <c r="B1644" s="606"/>
      <c r="C1644" s="1046"/>
      <c r="D1644" s="1048"/>
      <c r="E1644" s="1068"/>
      <c r="F1644" s="1044"/>
      <c r="G1644" s="1077">
        <f t="shared" si="25"/>
        <v>0</v>
      </c>
      <c r="H1644" s="1042" t="str">
        <f>IF(C1644="","",VLOOKUP(C1644,Compte!$A$3:$B$346,2,0))</f>
        <v/>
      </c>
      <c r="I1644" s="1043" t="str">
        <f>IF(D1644="","",VLOOKUP(D1644,Compte!$A$3:$B$346,2,0))</f>
        <v/>
      </c>
    </row>
    <row r="1645" spans="1:9">
      <c r="A1645" s="1206"/>
      <c r="B1645" s="606"/>
      <c r="C1645" s="1046"/>
      <c r="D1645" s="1048"/>
      <c r="E1645" s="1068"/>
      <c r="F1645" s="1044"/>
      <c r="G1645" s="1077">
        <f t="shared" si="25"/>
        <v>0</v>
      </c>
      <c r="H1645" s="1042" t="str">
        <f>IF(C1645="","",VLOOKUP(C1645,Compte!$A$3:$B$346,2,0))</f>
        <v/>
      </c>
      <c r="I1645" s="1043" t="str">
        <f>IF(D1645="","",VLOOKUP(D1645,Compte!$A$3:$B$346,2,0))</f>
        <v/>
      </c>
    </row>
    <row r="1646" spans="1:9">
      <c r="A1646" s="1206"/>
      <c r="B1646" s="606"/>
      <c r="C1646" s="1046"/>
      <c r="D1646" s="1048"/>
      <c r="E1646" s="1068"/>
      <c r="F1646" s="1044"/>
      <c r="G1646" s="1077">
        <f t="shared" si="25"/>
        <v>0</v>
      </c>
      <c r="H1646" s="1042" t="str">
        <f>IF(C1646="","",VLOOKUP(C1646,Compte!$A$3:$B$346,2,0))</f>
        <v/>
      </c>
      <c r="I1646" s="1043" t="str">
        <f>IF(D1646="","",VLOOKUP(D1646,Compte!$A$3:$B$346,2,0))</f>
        <v/>
      </c>
    </row>
    <row r="1647" spans="1:9">
      <c r="A1647" s="1206"/>
      <c r="B1647" s="606"/>
      <c r="C1647" s="1046"/>
      <c r="D1647" s="1048"/>
      <c r="E1647" s="1068"/>
      <c r="F1647" s="1044"/>
      <c r="G1647" s="1077">
        <f t="shared" si="25"/>
        <v>0</v>
      </c>
      <c r="H1647" s="1042" t="str">
        <f>IF(C1647="","",VLOOKUP(C1647,Compte!$A$3:$B$346,2,0))</f>
        <v/>
      </c>
      <c r="I1647" s="1043" t="str">
        <f>IF(D1647="","",VLOOKUP(D1647,Compte!$A$3:$B$346,2,0))</f>
        <v/>
      </c>
    </row>
    <row r="1648" spans="1:9">
      <c r="A1648" s="1206"/>
      <c r="B1648" s="606"/>
      <c r="C1648" s="1046"/>
      <c r="D1648" s="1048"/>
      <c r="E1648" s="1068"/>
      <c r="F1648" s="1044"/>
      <c r="G1648" s="1077">
        <f t="shared" si="25"/>
        <v>0</v>
      </c>
      <c r="H1648" s="1042" t="str">
        <f>IF(C1648="","",VLOOKUP(C1648,Compte!$A$3:$B$346,2,0))</f>
        <v/>
      </c>
      <c r="I1648" s="1043" t="str">
        <f>IF(D1648="","",VLOOKUP(D1648,Compte!$A$3:$B$346,2,0))</f>
        <v/>
      </c>
    </row>
    <row r="1649" spans="1:9">
      <c r="A1649" s="1206"/>
      <c r="B1649" s="606"/>
      <c r="C1649" s="1046"/>
      <c r="D1649" s="1048"/>
      <c r="E1649" s="1068"/>
      <c r="F1649" s="1044"/>
      <c r="G1649" s="1077">
        <f t="shared" si="25"/>
        <v>0</v>
      </c>
      <c r="H1649" s="1042" t="str">
        <f>IF(C1649="","",VLOOKUP(C1649,Compte!$A$3:$B$346,2,0))</f>
        <v/>
      </c>
      <c r="I1649" s="1043" t="str">
        <f>IF(D1649="","",VLOOKUP(D1649,Compte!$A$3:$B$346,2,0))</f>
        <v/>
      </c>
    </row>
    <row r="1650" spans="1:9">
      <c r="A1650" s="1206"/>
      <c r="B1650" s="606"/>
      <c r="C1650" s="1046"/>
      <c r="D1650" s="1048"/>
      <c r="E1650" s="1068"/>
      <c r="F1650" s="1044"/>
      <c r="G1650" s="1077">
        <f t="shared" si="25"/>
        <v>0</v>
      </c>
      <c r="H1650" s="1042" t="str">
        <f>IF(C1650="","",VLOOKUP(C1650,Compte!$A$3:$B$346,2,0))</f>
        <v/>
      </c>
      <c r="I1650" s="1043" t="str">
        <f>IF(D1650="","",VLOOKUP(D1650,Compte!$A$3:$B$346,2,0))</f>
        <v/>
      </c>
    </row>
    <row r="1651" spans="1:9">
      <c r="A1651" s="1206"/>
      <c r="B1651" s="606"/>
      <c r="C1651" s="1046"/>
      <c r="D1651" s="1048"/>
      <c r="E1651" s="1068"/>
      <c r="F1651" s="1044"/>
      <c r="G1651" s="1077">
        <f t="shared" si="25"/>
        <v>0</v>
      </c>
      <c r="H1651" s="1042" t="str">
        <f>IF(C1651="","",VLOOKUP(C1651,Compte!$A$3:$B$346,2,0))</f>
        <v/>
      </c>
      <c r="I1651" s="1043" t="str">
        <f>IF(D1651="","",VLOOKUP(D1651,Compte!$A$3:$B$346,2,0))</f>
        <v/>
      </c>
    </row>
    <row r="1652" spans="1:9">
      <c r="A1652" s="1206"/>
      <c r="B1652" s="606"/>
      <c r="C1652" s="1046"/>
      <c r="D1652" s="1048"/>
      <c r="E1652" s="1068"/>
      <c r="F1652" s="1044"/>
      <c r="G1652" s="1077">
        <f t="shared" si="25"/>
        <v>0</v>
      </c>
      <c r="H1652" s="1042" t="str">
        <f>IF(C1652="","",VLOOKUP(C1652,Compte!$A$3:$B$346,2,0))</f>
        <v/>
      </c>
      <c r="I1652" s="1043" t="str">
        <f>IF(D1652="","",VLOOKUP(D1652,Compte!$A$3:$B$346,2,0))</f>
        <v/>
      </c>
    </row>
    <row r="1653" spans="1:9">
      <c r="A1653" s="1206"/>
      <c r="B1653" s="606"/>
      <c r="C1653" s="1046"/>
      <c r="D1653" s="1048"/>
      <c r="E1653" s="1068"/>
      <c r="F1653" s="1044"/>
      <c r="G1653" s="1077">
        <f t="shared" si="25"/>
        <v>0</v>
      </c>
      <c r="H1653" s="1042" t="str">
        <f>IF(C1653="","",VLOOKUP(C1653,Compte!$A$3:$B$346,2,0))</f>
        <v/>
      </c>
      <c r="I1653" s="1043" t="str">
        <f>IF(D1653="","",VLOOKUP(D1653,Compte!$A$3:$B$346,2,0))</f>
        <v/>
      </c>
    </row>
    <row r="1654" spans="1:9">
      <c r="A1654" s="1206"/>
      <c r="B1654" s="606"/>
      <c r="C1654" s="1046"/>
      <c r="D1654" s="1048"/>
      <c r="E1654" s="1068"/>
      <c r="F1654" s="1044"/>
      <c r="G1654" s="1077">
        <f t="shared" si="25"/>
        <v>0</v>
      </c>
      <c r="H1654" s="1042" t="str">
        <f>IF(C1654="","",VLOOKUP(C1654,Compte!$A$3:$B$346,2,0))</f>
        <v/>
      </c>
      <c r="I1654" s="1043" t="str">
        <f>IF(D1654="","",VLOOKUP(D1654,Compte!$A$3:$B$346,2,0))</f>
        <v/>
      </c>
    </row>
    <row r="1655" spans="1:9">
      <c r="A1655" s="1206"/>
      <c r="B1655" s="606"/>
      <c r="C1655" s="1046"/>
      <c r="D1655" s="1048"/>
      <c r="E1655" s="1068"/>
      <c r="F1655" s="1044"/>
      <c r="G1655" s="1077">
        <f t="shared" si="25"/>
        <v>0</v>
      </c>
      <c r="H1655" s="1042" t="str">
        <f>IF(C1655="","",VLOOKUP(C1655,Compte!$A$3:$B$346,2,0))</f>
        <v/>
      </c>
      <c r="I1655" s="1043" t="str">
        <f>IF(D1655="","",VLOOKUP(D1655,Compte!$A$3:$B$346,2,0))</f>
        <v/>
      </c>
    </row>
    <row r="1656" spans="1:9">
      <c r="A1656" s="1206"/>
      <c r="B1656" s="606"/>
      <c r="C1656" s="1046"/>
      <c r="D1656" s="1048"/>
      <c r="E1656" s="1068"/>
      <c r="F1656" s="1044"/>
      <c r="G1656" s="1077">
        <f t="shared" si="25"/>
        <v>0</v>
      </c>
      <c r="H1656" s="1042" t="str">
        <f>IF(C1656="","",VLOOKUP(C1656,Compte!$A$3:$B$346,2,0))</f>
        <v/>
      </c>
      <c r="I1656" s="1043" t="str">
        <f>IF(D1656="","",VLOOKUP(D1656,Compte!$A$3:$B$346,2,0))</f>
        <v/>
      </c>
    </row>
    <row r="1657" spans="1:9">
      <c r="A1657" s="1206"/>
      <c r="B1657" s="606"/>
      <c r="C1657" s="1046"/>
      <c r="D1657" s="1048"/>
      <c r="E1657" s="1068"/>
      <c r="F1657" s="1044"/>
      <c r="G1657" s="1077">
        <f t="shared" si="25"/>
        <v>0</v>
      </c>
      <c r="H1657" s="1042" t="str">
        <f>IF(C1657="","",VLOOKUP(C1657,Compte!$A$3:$B$346,2,0))</f>
        <v/>
      </c>
      <c r="I1657" s="1043" t="str">
        <f>IF(D1657="","",VLOOKUP(D1657,Compte!$A$3:$B$346,2,0))</f>
        <v/>
      </c>
    </row>
    <row r="1658" spans="1:9">
      <c r="A1658" s="1206"/>
      <c r="B1658" s="606"/>
      <c r="C1658" s="1046"/>
      <c r="D1658" s="1048"/>
      <c r="E1658" s="1068"/>
      <c r="F1658" s="1044"/>
      <c r="G1658" s="1077">
        <f t="shared" si="25"/>
        <v>0</v>
      </c>
      <c r="H1658" s="1042" t="str">
        <f>IF(C1658="","",VLOOKUP(C1658,Compte!$A$3:$B$346,2,0))</f>
        <v/>
      </c>
      <c r="I1658" s="1043" t="str">
        <f>IF(D1658="","",VLOOKUP(D1658,Compte!$A$3:$B$346,2,0))</f>
        <v/>
      </c>
    </row>
    <row r="1659" spans="1:9">
      <c r="A1659" s="1206"/>
      <c r="B1659" s="606"/>
      <c r="C1659" s="1046"/>
      <c r="D1659" s="1048"/>
      <c r="E1659" s="1068"/>
      <c r="F1659" s="1044"/>
      <c r="G1659" s="1077">
        <f t="shared" si="25"/>
        <v>0</v>
      </c>
      <c r="H1659" s="1042" t="str">
        <f>IF(C1659="","",VLOOKUP(C1659,Compte!$A$3:$B$346,2,0))</f>
        <v/>
      </c>
      <c r="I1659" s="1043" t="str">
        <f>IF(D1659="","",VLOOKUP(D1659,Compte!$A$3:$B$346,2,0))</f>
        <v/>
      </c>
    </row>
    <row r="1660" spans="1:9">
      <c r="A1660" s="1206"/>
      <c r="B1660" s="606"/>
      <c r="C1660" s="1046"/>
      <c r="D1660" s="1048"/>
      <c r="E1660" s="1068"/>
      <c r="F1660" s="1044"/>
      <c r="G1660" s="1077">
        <f t="shared" si="25"/>
        <v>0</v>
      </c>
      <c r="H1660" s="1042" t="str">
        <f>IF(C1660="","",VLOOKUP(C1660,Compte!$A$3:$B$346,2,0))</f>
        <v/>
      </c>
      <c r="I1660" s="1043" t="str">
        <f>IF(D1660="","",VLOOKUP(D1660,Compte!$A$3:$B$346,2,0))</f>
        <v/>
      </c>
    </row>
    <row r="1661" spans="1:9">
      <c r="A1661" s="1206"/>
      <c r="B1661" s="606"/>
      <c r="C1661" s="1046"/>
      <c r="D1661" s="1048"/>
      <c r="E1661" s="1068"/>
      <c r="F1661" s="1044"/>
      <c r="G1661" s="1077">
        <f t="shared" si="25"/>
        <v>0</v>
      </c>
      <c r="H1661" s="1042" t="str">
        <f>IF(C1661="","",VLOOKUP(C1661,Compte!$A$3:$B$346,2,0))</f>
        <v/>
      </c>
      <c r="I1661" s="1043" t="str">
        <f>IF(D1661="","",VLOOKUP(D1661,Compte!$A$3:$B$346,2,0))</f>
        <v/>
      </c>
    </row>
    <row r="1662" spans="1:9">
      <c r="A1662" s="1206"/>
      <c r="B1662" s="606"/>
      <c r="C1662" s="1046"/>
      <c r="D1662" s="1048"/>
      <c r="E1662" s="1068"/>
      <c r="F1662" s="1044"/>
      <c r="G1662" s="1077">
        <f t="shared" si="25"/>
        <v>0</v>
      </c>
      <c r="H1662" s="1042" t="str">
        <f>IF(C1662="","",VLOOKUP(C1662,Compte!$A$3:$B$346,2,0))</f>
        <v/>
      </c>
      <c r="I1662" s="1043" t="str">
        <f>IF(D1662="","",VLOOKUP(D1662,Compte!$A$3:$B$346,2,0))</f>
        <v/>
      </c>
    </row>
    <row r="1663" spans="1:9">
      <c r="A1663" s="1206"/>
      <c r="B1663" s="606"/>
      <c r="C1663" s="1046"/>
      <c r="D1663" s="1048"/>
      <c r="E1663" s="1068"/>
      <c r="F1663" s="1044"/>
      <c r="G1663" s="1077">
        <f t="shared" si="25"/>
        <v>0</v>
      </c>
      <c r="H1663" s="1042" t="str">
        <f>IF(C1663="","",VLOOKUP(C1663,Compte!$A$3:$B$346,2,0))</f>
        <v/>
      </c>
      <c r="I1663" s="1043" t="str">
        <f>IF(D1663="","",VLOOKUP(D1663,Compte!$A$3:$B$346,2,0))</f>
        <v/>
      </c>
    </row>
    <row r="1664" spans="1:9">
      <c r="A1664" s="1206"/>
      <c r="B1664" s="606"/>
      <c r="C1664" s="1046"/>
      <c r="D1664" s="1048"/>
      <c r="E1664" s="1068"/>
      <c r="F1664" s="1044"/>
      <c r="G1664" s="1077">
        <f t="shared" si="25"/>
        <v>0</v>
      </c>
      <c r="H1664" s="1042" t="str">
        <f>IF(C1664="","",VLOOKUP(C1664,Compte!$A$3:$B$346,2,0))</f>
        <v/>
      </c>
      <c r="I1664" s="1043" t="str">
        <f>IF(D1664="","",VLOOKUP(D1664,Compte!$A$3:$B$346,2,0))</f>
        <v/>
      </c>
    </row>
    <row r="1665" spans="1:9">
      <c r="A1665" s="1206"/>
      <c r="B1665" s="606"/>
      <c r="C1665" s="1046"/>
      <c r="D1665" s="1048"/>
      <c r="E1665" s="1068"/>
      <c r="F1665" s="1044"/>
      <c r="G1665" s="1077">
        <f t="shared" si="25"/>
        <v>0</v>
      </c>
      <c r="H1665" s="1042" t="str">
        <f>IF(C1665="","",VLOOKUP(C1665,Compte!$A$3:$B$346,2,0))</f>
        <v/>
      </c>
      <c r="I1665" s="1043" t="str">
        <f>IF(D1665="","",VLOOKUP(D1665,Compte!$A$3:$B$346,2,0))</f>
        <v/>
      </c>
    </row>
    <row r="1666" spans="1:9">
      <c r="A1666" s="1206"/>
      <c r="B1666" s="606"/>
      <c r="C1666" s="1046"/>
      <c r="D1666" s="1048"/>
      <c r="E1666" s="1068"/>
      <c r="F1666" s="1044"/>
      <c r="G1666" s="1077">
        <f t="shared" si="25"/>
        <v>0</v>
      </c>
      <c r="H1666" s="1042" t="str">
        <f>IF(C1666="","",VLOOKUP(C1666,Compte!$A$3:$B$346,2,0))</f>
        <v/>
      </c>
      <c r="I1666" s="1043" t="str">
        <f>IF(D1666="","",VLOOKUP(D1666,Compte!$A$3:$B$346,2,0))</f>
        <v/>
      </c>
    </row>
    <row r="1667" spans="1:9">
      <c r="A1667" s="1206"/>
      <c r="B1667" s="606"/>
      <c r="C1667" s="1046"/>
      <c r="D1667" s="1048"/>
      <c r="E1667" s="1068"/>
      <c r="F1667" s="1044"/>
      <c r="G1667" s="1077">
        <f t="shared" si="25"/>
        <v>0</v>
      </c>
      <c r="H1667" s="1042" t="str">
        <f>IF(C1667="","",VLOOKUP(C1667,Compte!$A$3:$B$346,2,0))</f>
        <v/>
      </c>
      <c r="I1667" s="1043" t="str">
        <f>IF(D1667="","",VLOOKUP(D1667,Compte!$A$3:$B$346,2,0))</f>
        <v/>
      </c>
    </row>
    <row r="1668" spans="1:9">
      <c r="A1668" s="1206"/>
      <c r="B1668" s="606"/>
      <c r="C1668" s="1046"/>
      <c r="D1668" s="1048"/>
      <c r="E1668" s="1068"/>
      <c r="F1668" s="1044"/>
      <c r="G1668" s="1077">
        <f t="shared" si="25"/>
        <v>0</v>
      </c>
      <c r="H1668" s="1042" t="str">
        <f>IF(C1668="","",VLOOKUP(C1668,Compte!$A$3:$B$346,2,0))</f>
        <v/>
      </c>
      <c r="I1668" s="1043" t="str">
        <f>IF(D1668="","",VLOOKUP(D1668,Compte!$A$3:$B$346,2,0))</f>
        <v/>
      </c>
    </row>
    <row r="1669" spans="1:9">
      <c r="A1669" s="1206"/>
      <c r="B1669" s="606"/>
      <c r="C1669" s="1046"/>
      <c r="D1669" s="1048"/>
      <c r="E1669" s="1068"/>
      <c r="F1669" s="1044"/>
      <c r="G1669" s="1077">
        <f t="shared" si="25"/>
        <v>0</v>
      </c>
      <c r="H1669" s="1042" t="str">
        <f>IF(C1669="","",VLOOKUP(C1669,Compte!$A$3:$B$346,2,0))</f>
        <v/>
      </c>
      <c r="I1669" s="1043" t="str">
        <f>IF(D1669="","",VLOOKUP(D1669,Compte!$A$3:$B$346,2,0))</f>
        <v/>
      </c>
    </row>
    <row r="1670" spans="1:9">
      <c r="A1670" s="1206"/>
      <c r="B1670" s="606"/>
      <c r="C1670" s="1046"/>
      <c r="D1670" s="1048"/>
      <c r="E1670" s="1068"/>
      <c r="F1670" s="1044"/>
      <c r="G1670" s="1077">
        <f t="shared" si="25"/>
        <v>0</v>
      </c>
      <c r="H1670" s="1042" t="str">
        <f>IF(C1670="","",VLOOKUP(C1670,Compte!$A$3:$B$346,2,0))</f>
        <v/>
      </c>
      <c r="I1670" s="1043" t="str">
        <f>IF(D1670="","",VLOOKUP(D1670,Compte!$A$3:$B$346,2,0))</f>
        <v/>
      </c>
    </row>
    <row r="1671" spans="1:9">
      <c r="A1671" s="1206"/>
      <c r="B1671" s="606"/>
      <c r="C1671" s="1046"/>
      <c r="D1671" s="1048"/>
      <c r="E1671" s="1068"/>
      <c r="F1671" s="1044"/>
      <c r="G1671" s="1077">
        <f t="shared" si="25"/>
        <v>0</v>
      </c>
      <c r="H1671" s="1042" t="str">
        <f>IF(C1671="","",VLOOKUP(C1671,Compte!$A$3:$B$346,2,0))</f>
        <v/>
      </c>
      <c r="I1671" s="1043" t="str">
        <f>IF(D1671="","",VLOOKUP(D1671,Compte!$A$3:$B$346,2,0))</f>
        <v/>
      </c>
    </row>
    <row r="1672" spans="1:9">
      <c r="A1672" s="1206"/>
      <c r="B1672" s="606"/>
      <c r="C1672" s="1046"/>
      <c r="D1672" s="1048"/>
      <c r="E1672" s="1068"/>
      <c r="F1672" s="1044"/>
      <c r="G1672" s="1077">
        <f t="shared" ref="G1672:G1735" si="26">IF(C1672="",F1672,E1672)</f>
        <v>0</v>
      </c>
      <c r="H1672" s="1042" t="str">
        <f>IF(C1672="","",VLOOKUP(C1672,Compte!$A$3:$B$346,2,0))</f>
        <v/>
      </c>
      <c r="I1672" s="1043" t="str">
        <f>IF(D1672="","",VLOOKUP(D1672,Compte!$A$3:$B$346,2,0))</f>
        <v/>
      </c>
    </row>
    <row r="1673" spans="1:9">
      <c r="A1673" s="1206"/>
      <c r="B1673" s="606"/>
      <c r="C1673" s="1046"/>
      <c r="D1673" s="1048"/>
      <c r="E1673" s="1068"/>
      <c r="F1673" s="1044"/>
      <c r="G1673" s="1077">
        <f t="shared" si="26"/>
        <v>0</v>
      </c>
      <c r="H1673" s="1042" t="str">
        <f>IF(C1673="","",VLOOKUP(C1673,Compte!$A$3:$B$346,2,0))</f>
        <v/>
      </c>
      <c r="I1673" s="1043" t="str">
        <f>IF(D1673="","",VLOOKUP(D1673,Compte!$A$3:$B$346,2,0))</f>
        <v/>
      </c>
    </row>
    <row r="1674" spans="1:9">
      <c r="A1674" s="1206"/>
      <c r="B1674" s="606"/>
      <c r="C1674" s="1046"/>
      <c r="D1674" s="1048"/>
      <c r="E1674" s="1068"/>
      <c r="F1674" s="1044"/>
      <c r="G1674" s="1077">
        <f t="shared" si="26"/>
        <v>0</v>
      </c>
      <c r="H1674" s="1042" t="str">
        <f>IF(C1674="","",VLOOKUP(C1674,Compte!$A$3:$B$346,2,0))</f>
        <v/>
      </c>
      <c r="I1674" s="1043" t="str">
        <f>IF(D1674="","",VLOOKUP(D1674,Compte!$A$3:$B$346,2,0))</f>
        <v/>
      </c>
    </row>
    <row r="1675" spans="1:9">
      <c r="A1675" s="1206"/>
      <c r="B1675" s="606"/>
      <c r="C1675" s="1046"/>
      <c r="D1675" s="1048"/>
      <c r="E1675" s="1068"/>
      <c r="F1675" s="1044"/>
      <c r="G1675" s="1077">
        <f t="shared" si="26"/>
        <v>0</v>
      </c>
      <c r="H1675" s="1042" t="str">
        <f>IF(C1675="","",VLOOKUP(C1675,Compte!$A$3:$B$346,2,0))</f>
        <v/>
      </c>
      <c r="I1675" s="1043" t="str">
        <f>IF(D1675="","",VLOOKUP(D1675,Compte!$A$3:$B$346,2,0))</f>
        <v/>
      </c>
    </row>
    <row r="1676" spans="1:9">
      <c r="A1676" s="1206"/>
      <c r="B1676" s="606"/>
      <c r="C1676" s="1046"/>
      <c r="D1676" s="1048"/>
      <c r="E1676" s="1068"/>
      <c r="F1676" s="1044"/>
      <c r="G1676" s="1077">
        <f t="shared" si="26"/>
        <v>0</v>
      </c>
      <c r="H1676" s="1042" t="str">
        <f>IF(C1676="","",VLOOKUP(C1676,Compte!$A$3:$B$346,2,0))</f>
        <v/>
      </c>
      <c r="I1676" s="1043" t="str">
        <f>IF(D1676="","",VLOOKUP(D1676,Compte!$A$3:$B$346,2,0))</f>
        <v/>
      </c>
    </row>
    <row r="1677" spans="1:9">
      <c r="A1677" s="1206"/>
      <c r="B1677" s="606"/>
      <c r="C1677" s="1046"/>
      <c r="D1677" s="1048"/>
      <c r="E1677" s="1068"/>
      <c r="F1677" s="1044"/>
      <c r="G1677" s="1077">
        <f t="shared" si="26"/>
        <v>0</v>
      </c>
      <c r="H1677" s="1042" t="str">
        <f>IF(C1677="","",VLOOKUP(C1677,Compte!$A$3:$B$346,2,0))</f>
        <v/>
      </c>
      <c r="I1677" s="1043" t="str">
        <f>IF(D1677="","",VLOOKUP(D1677,Compte!$A$3:$B$346,2,0))</f>
        <v/>
      </c>
    </row>
    <row r="1678" spans="1:9">
      <c r="A1678" s="1206"/>
      <c r="B1678" s="606"/>
      <c r="C1678" s="1046"/>
      <c r="D1678" s="1048"/>
      <c r="E1678" s="1068"/>
      <c r="F1678" s="1044"/>
      <c r="G1678" s="1077">
        <f t="shared" si="26"/>
        <v>0</v>
      </c>
      <c r="H1678" s="1042" t="str">
        <f>IF(C1678="","",VLOOKUP(C1678,Compte!$A$3:$B$346,2,0))</f>
        <v/>
      </c>
      <c r="I1678" s="1043" t="str">
        <f>IF(D1678="","",VLOOKUP(D1678,Compte!$A$3:$B$346,2,0))</f>
        <v/>
      </c>
    </row>
    <row r="1679" spans="1:9">
      <c r="A1679" s="1206"/>
      <c r="B1679" s="606"/>
      <c r="C1679" s="1046"/>
      <c r="D1679" s="1048"/>
      <c r="E1679" s="1068"/>
      <c r="F1679" s="1044"/>
      <c r="G1679" s="1077">
        <f t="shared" si="26"/>
        <v>0</v>
      </c>
      <c r="H1679" s="1042" t="str">
        <f>IF(C1679="","",VLOOKUP(C1679,Compte!$A$3:$B$346,2,0))</f>
        <v/>
      </c>
      <c r="I1679" s="1043" t="str">
        <f>IF(D1679="","",VLOOKUP(D1679,Compte!$A$3:$B$346,2,0))</f>
        <v/>
      </c>
    </row>
    <row r="1680" spans="1:9">
      <c r="A1680" s="1206"/>
      <c r="B1680" s="606"/>
      <c r="C1680" s="1046"/>
      <c r="D1680" s="1048"/>
      <c r="E1680" s="1068"/>
      <c r="F1680" s="1044"/>
      <c r="G1680" s="1077">
        <f t="shared" si="26"/>
        <v>0</v>
      </c>
      <c r="H1680" s="1042" t="str">
        <f>IF(C1680="","",VLOOKUP(C1680,Compte!$A$3:$B$346,2,0))</f>
        <v/>
      </c>
      <c r="I1680" s="1043" t="str">
        <f>IF(D1680="","",VLOOKUP(D1680,Compte!$A$3:$B$346,2,0))</f>
        <v/>
      </c>
    </row>
    <row r="1681" spans="1:9">
      <c r="A1681" s="1206"/>
      <c r="B1681" s="606"/>
      <c r="C1681" s="1046"/>
      <c r="D1681" s="1048"/>
      <c r="E1681" s="1068"/>
      <c r="F1681" s="1044"/>
      <c r="G1681" s="1077">
        <f t="shared" si="26"/>
        <v>0</v>
      </c>
      <c r="H1681" s="1042" t="str">
        <f>IF(C1681="","",VLOOKUP(C1681,Compte!$A$3:$B$346,2,0))</f>
        <v/>
      </c>
      <c r="I1681" s="1043" t="str">
        <f>IF(D1681="","",VLOOKUP(D1681,Compte!$A$3:$B$346,2,0))</f>
        <v/>
      </c>
    </row>
    <row r="1682" spans="1:9">
      <c r="A1682" s="1206"/>
      <c r="B1682" s="606"/>
      <c r="C1682" s="1046"/>
      <c r="D1682" s="1048"/>
      <c r="E1682" s="1068"/>
      <c r="F1682" s="1044"/>
      <c r="G1682" s="1077">
        <f t="shared" si="26"/>
        <v>0</v>
      </c>
      <c r="H1682" s="1042" t="str">
        <f>IF(C1682="","",VLOOKUP(C1682,Compte!$A$3:$B$346,2,0))</f>
        <v/>
      </c>
      <c r="I1682" s="1043" t="str">
        <f>IF(D1682="","",VLOOKUP(D1682,Compte!$A$3:$B$346,2,0))</f>
        <v/>
      </c>
    </row>
    <row r="1683" spans="1:9">
      <c r="A1683" s="1206"/>
      <c r="B1683" s="606"/>
      <c r="C1683" s="1046"/>
      <c r="D1683" s="1048"/>
      <c r="E1683" s="1068"/>
      <c r="F1683" s="1044"/>
      <c r="G1683" s="1077">
        <f t="shared" si="26"/>
        <v>0</v>
      </c>
      <c r="H1683" s="1042" t="str">
        <f>IF(C1683="","",VLOOKUP(C1683,Compte!$A$3:$B$346,2,0))</f>
        <v/>
      </c>
      <c r="I1683" s="1043" t="str">
        <f>IF(D1683="","",VLOOKUP(D1683,Compte!$A$3:$B$346,2,0))</f>
        <v/>
      </c>
    </row>
    <row r="1684" spans="1:9">
      <c r="A1684" s="1206"/>
      <c r="B1684" s="606"/>
      <c r="C1684" s="1046"/>
      <c r="D1684" s="1048"/>
      <c r="E1684" s="1068"/>
      <c r="F1684" s="1044"/>
      <c r="G1684" s="1077">
        <f t="shared" si="26"/>
        <v>0</v>
      </c>
      <c r="H1684" s="1042" t="str">
        <f>IF(C1684="","",VLOOKUP(C1684,Compte!$A$3:$B$346,2,0))</f>
        <v/>
      </c>
      <c r="I1684" s="1043" t="str">
        <f>IF(D1684="","",VLOOKUP(D1684,Compte!$A$3:$B$346,2,0))</f>
        <v/>
      </c>
    </row>
    <row r="1685" spans="1:9">
      <c r="A1685" s="1206"/>
      <c r="B1685" s="606"/>
      <c r="C1685" s="1046"/>
      <c r="D1685" s="1048"/>
      <c r="E1685" s="1068"/>
      <c r="F1685" s="1044"/>
      <c r="G1685" s="1077">
        <f t="shared" si="26"/>
        <v>0</v>
      </c>
      <c r="H1685" s="1042" t="str">
        <f>IF(C1685="","",VLOOKUP(C1685,Compte!$A$3:$B$346,2,0))</f>
        <v/>
      </c>
      <c r="I1685" s="1043" t="str">
        <f>IF(D1685="","",VLOOKUP(D1685,Compte!$A$3:$B$346,2,0))</f>
        <v/>
      </c>
    </row>
    <row r="1686" spans="1:9">
      <c r="A1686" s="1206"/>
      <c r="B1686" s="606"/>
      <c r="C1686" s="1046"/>
      <c r="D1686" s="1048"/>
      <c r="E1686" s="1068"/>
      <c r="F1686" s="1044"/>
      <c r="G1686" s="1077">
        <f t="shared" si="26"/>
        <v>0</v>
      </c>
      <c r="H1686" s="1042" t="str">
        <f>IF(C1686="","",VLOOKUP(C1686,Compte!$A$3:$B$346,2,0))</f>
        <v/>
      </c>
      <c r="I1686" s="1043" t="str">
        <f>IF(D1686="","",VLOOKUP(D1686,Compte!$A$3:$B$346,2,0))</f>
        <v/>
      </c>
    </row>
    <row r="1687" spans="1:9">
      <c r="A1687" s="1206"/>
      <c r="B1687" s="606"/>
      <c r="C1687" s="1046"/>
      <c r="D1687" s="1048"/>
      <c r="E1687" s="1068"/>
      <c r="F1687" s="1044"/>
      <c r="G1687" s="1077">
        <f t="shared" si="26"/>
        <v>0</v>
      </c>
      <c r="H1687" s="1042" t="str">
        <f>IF(C1687="","",VLOOKUP(C1687,Compte!$A$3:$B$346,2,0))</f>
        <v/>
      </c>
      <c r="I1687" s="1043" t="str">
        <f>IF(D1687="","",VLOOKUP(D1687,Compte!$A$3:$B$346,2,0))</f>
        <v/>
      </c>
    </row>
    <row r="1688" spans="1:9">
      <c r="A1688" s="1206"/>
      <c r="B1688" s="606"/>
      <c r="C1688" s="1046"/>
      <c r="D1688" s="1048"/>
      <c r="E1688" s="1068"/>
      <c r="F1688" s="1044"/>
      <c r="G1688" s="1077">
        <f t="shared" si="26"/>
        <v>0</v>
      </c>
      <c r="H1688" s="1042" t="str">
        <f>IF(C1688="","",VLOOKUP(C1688,Compte!$A$3:$B$346,2,0))</f>
        <v/>
      </c>
      <c r="I1688" s="1043" t="str">
        <f>IF(D1688="","",VLOOKUP(D1688,Compte!$A$3:$B$346,2,0))</f>
        <v/>
      </c>
    </row>
    <row r="1689" spans="1:9">
      <c r="A1689" s="1206"/>
      <c r="B1689" s="606"/>
      <c r="C1689" s="1046"/>
      <c r="D1689" s="1048"/>
      <c r="E1689" s="1068"/>
      <c r="F1689" s="1044"/>
      <c r="G1689" s="1077">
        <f t="shared" si="26"/>
        <v>0</v>
      </c>
      <c r="H1689" s="1042" t="str">
        <f>IF(C1689="","",VLOOKUP(C1689,Compte!$A$3:$B$346,2,0))</f>
        <v/>
      </c>
      <c r="I1689" s="1043" t="str">
        <f>IF(D1689="","",VLOOKUP(D1689,Compte!$A$3:$B$346,2,0))</f>
        <v/>
      </c>
    </row>
    <row r="1690" spans="1:9">
      <c r="A1690" s="1206"/>
      <c r="B1690" s="606"/>
      <c r="C1690" s="1046"/>
      <c r="D1690" s="1048"/>
      <c r="E1690" s="1068"/>
      <c r="F1690" s="1044"/>
      <c r="G1690" s="1077">
        <f t="shared" si="26"/>
        <v>0</v>
      </c>
      <c r="H1690" s="1042" t="str">
        <f>IF(C1690="","",VLOOKUP(C1690,Compte!$A$3:$B$346,2,0))</f>
        <v/>
      </c>
      <c r="I1690" s="1043" t="str">
        <f>IF(D1690="","",VLOOKUP(D1690,Compte!$A$3:$B$346,2,0))</f>
        <v/>
      </c>
    </row>
    <row r="1691" spans="1:9">
      <c r="A1691" s="1206"/>
      <c r="B1691" s="606"/>
      <c r="C1691" s="1046"/>
      <c r="D1691" s="1048"/>
      <c r="E1691" s="1068"/>
      <c r="F1691" s="1044"/>
      <c r="G1691" s="1077">
        <f t="shared" si="26"/>
        <v>0</v>
      </c>
      <c r="H1691" s="1042" t="str">
        <f>IF(C1691="","",VLOOKUP(C1691,Compte!$A$3:$B$346,2,0))</f>
        <v/>
      </c>
      <c r="I1691" s="1043" t="str">
        <f>IF(D1691="","",VLOOKUP(D1691,Compte!$A$3:$B$346,2,0))</f>
        <v/>
      </c>
    </row>
    <row r="1692" spans="1:9">
      <c r="A1692" s="1206"/>
      <c r="B1692" s="606"/>
      <c r="C1692" s="1046"/>
      <c r="D1692" s="1048"/>
      <c r="E1692" s="1068"/>
      <c r="F1692" s="1044"/>
      <c r="G1692" s="1077">
        <f t="shared" si="26"/>
        <v>0</v>
      </c>
      <c r="H1692" s="1042" t="str">
        <f>IF(C1692="","",VLOOKUP(C1692,Compte!$A$3:$B$346,2,0))</f>
        <v/>
      </c>
      <c r="I1692" s="1043" t="str">
        <f>IF(D1692="","",VLOOKUP(D1692,Compte!$A$3:$B$346,2,0))</f>
        <v/>
      </c>
    </row>
    <row r="1693" spans="1:9">
      <c r="A1693" s="1206"/>
      <c r="B1693" s="606"/>
      <c r="C1693" s="1046"/>
      <c r="D1693" s="1048"/>
      <c r="E1693" s="1068"/>
      <c r="F1693" s="1044"/>
      <c r="G1693" s="1077">
        <f t="shared" si="26"/>
        <v>0</v>
      </c>
      <c r="H1693" s="1042" t="str">
        <f>IF(C1693="","",VLOOKUP(C1693,Compte!$A$3:$B$346,2,0))</f>
        <v/>
      </c>
      <c r="I1693" s="1043" t="str">
        <f>IF(D1693="","",VLOOKUP(D1693,Compte!$A$3:$B$346,2,0))</f>
        <v/>
      </c>
    </row>
    <row r="1694" spans="1:9">
      <c r="A1694" s="1206"/>
      <c r="B1694" s="606"/>
      <c r="C1694" s="1046"/>
      <c r="D1694" s="1048"/>
      <c r="E1694" s="1068"/>
      <c r="F1694" s="1044"/>
      <c r="G1694" s="1077">
        <f t="shared" si="26"/>
        <v>0</v>
      </c>
      <c r="H1694" s="1042" t="str">
        <f>IF(C1694="","",VLOOKUP(C1694,Compte!$A$3:$B$346,2,0))</f>
        <v/>
      </c>
      <c r="I1694" s="1043" t="str">
        <f>IF(D1694="","",VLOOKUP(D1694,Compte!$A$3:$B$346,2,0))</f>
        <v/>
      </c>
    </row>
    <row r="1695" spans="1:9">
      <c r="A1695" s="1206"/>
      <c r="B1695" s="606"/>
      <c r="C1695" s="1046"/>
      <c r="D1695" s="1048"/>
      <c r="E1695" s="1068"/>
      <c r="F1695" s="1044"/>
      <c r="G1695" s="1077">
        <f t="shared" si="26"/>
        <v>0</v>
      </c>
      <c r="H1695" s="1042" t="str">
        <f>IF(C1695="","",VLOOKUP(C1695,Compte!$A$3:$B$346,2,0))</f>
        <v/>
      </c>
      <c r="I1695" s="1043" t="str">
        <f>IF(D1695="","",VLOOKUP(D1695,Compte!$A$3:$B$346,2,0))</f>
        <v/>
      </c>
    </row>
    <row r="1696" spans="1:9">
      <c r="A1696" s="1206"/>
      <c r="B1696" s="606"/>
      <c r="C1696" s="1046"/>
      <c r="D1696" s="1048"/>
      <c r="E1696" s="1068"/>
      <c r="F1696" s="1044"/>
      <c r="G1696" s="1077">
        <f t="shared" si="26"/>
        <v>0</v>
      </c>
      <c r="H1696" s="1042" t="str">
        <f>IF(C1696="","",VLOOKUP(C1696,Compte!$A$3:$B$346,2,0))</f>
        <v/>
      </c>
      <c r="I1696" s="1043" t="str">
        <f>IF(D1696="","",VLOOKUP(D1696,Compte!$A$3:$B$346,2,0))</f>
        <v/>
      </c>
    </row>
    <row r="1697" spans="1:9">
      <c r="A1697" s="1206"/>
      <c r="B1697" s="606"/>
      <c r="C1697" s="1046"/>
      <c r="D1697" s="1048"/>
      <c r="E1697" s="1068"/>
      <c r="F1697" s="1044"/>
      <c r="G1697" s="1077">
        <f t="shared" si="26"/>
        <v>0</v>
      </c>
      <c r="H1697" s="1042" t="str">
        <f>IF(C1697="","",VLOOKUP(C1697,Compte!$A$3:$B$346,2,0))</f>
        <v/>
      </c>
      <c r="I1697" s="1043" t="str">
        <f>IF(D1697="","",VLOOKUP(D1697,Compte!$A$3:$B$346,2,0))</f>
        <v/>
      </c>
    </row>
    <row r="1698" spans="1:9">
      <c r="A1698" s="1206"/>
      <c r="B1698" s="606"/>
      <c r="C1698" s="1046"/>
      <c r="D1698" s="1048"/>
      <c r="E1698" s="1068"/>
      <c r="F1698" s="1044"/>
      <c r="G1698" s="1077">
        <f t="shared" si="26"/>
        <v>0</v>
      </c>
      <c r="H1698" s="1042" t="str">
        <f>IF(C1698="","",VLOOKUP(C1698,Compte!$A$3:$B$346,2,0))</f>
        <v/>
      </c>
      <c r="I1698" s="1043" t="str">
        <f>IF(D1698="","",VLOOKUP(D1698,Compte!$A$3:$B$346,2,0))</f>
        <v/>
      </c>
    </row>
    <row r="1699" spans="1:9">
      <c r="A1699" s="1206"/>
      <c r="B1699" s="606"/>
      <c r="C1699" s="1046"/>
      <c r="D1699" s="1048"/>
      <c r="E1699" s="1068"/>
      <c r="F1699" s="1044"/>
      <c r="G1699" s="1077">
        <f t="shared" si="26"/>
        <v>0</v>
      </c>
      <c r="H1699" s="1042" t="str">
        <f>IF(C1699="","",VLOOKUP(C1699,Compte!$A$3:$B$346,2,0))</f>
        <v/>
      </c>
      <c r="I1699" s="1043" t="str">
        <f>IF(D1699="","",VLOOKUP(D1699,Compte!$A$3:$B$346,2,0))</f>
        <v/>
      </c>
    </row>
    <row r="1700" spans="1:9">
      <c r="A1700" s="1206"/>
      <c r="B1700" s="606"/>
      <c r="C1700" s="1046"/>
      <c r="D1700" s="1048"/>
      <c r="E1700" s="1068"/>
      <c r="F1700" s="1044"/>
      <c r="G1700" s="1077">
        <f t="shared" si="26"/>
        <v>0</v>
      </c>
      <c r="H1700" s="1042" t="str">
        <f>IF(C1700="","",VLOOKUP(C1700,Compte!$A$3:$B$346,2,0))</f>
        <v/>
      </c>
      <c r="I1700" s="1043" t="str">
        <f>IF(D1700="","",VLOOKUP(D1700,Compte!$A$3:$B$346,2,0))</f>
        <v/>
      </c>
    </row>
    <row r="1701" spans="1:9">
      <c r="A1701" s="1206"/>
      <c r="B1701" s="606"/>
      <c r="C1701" s="1046"/>
      <c r="D1701" s="1048"/>
      <c r="E1701" s="1068"/>
      <c r="F1701" s="1044"/>
      <c r="G1701" s="1077">
        <f t="shared" si="26"/>
        <v>0</v>
      </c>
      <c r="H1701" s="1042" t="str">
        <f>IF(C1701="","",VLOOKUP(C1701,Compte!$A$3:$B$346,2,0))</f>
        <v/>
      </c>
      <c r="I1701" s="1043" t="str">
        <f>IF(D1701="","",VLOOKUP(D1701,Compte!$A$3:$B$346,2,0))</f>
        <v/>
      </c>
    </row>
    <row r="1702" spans="1:9">
      <c r="A1702" s="1206"/>
      <c r="B1702" s="606"/>
      <c r="C1702" s="1046"/>
      <c r="D1702" s="1048"/>
      <c r="E1702" s="1068"/>
      <c r="F1702" s="1044"/>
      <c r="G1702" s="1077">
        <f t="shared" si="26"/>
        <v>0</v>
      </c>
      <c r="H1702" s="1042" t="str">
        <f>IF(C1702="","",VLOOKUP(C1702,Compte!$A$3:$B$346,2,0))</f>
        <v/>
      </c>
      <c r="I1702" s="1043" t="str">
        <f>IF(D1702="","",VLOOKUP(D1702,Compte!$A$3:$B$346,2,0))</f>
        <v/>
      </c>
    </row>
    <row r="1703" spans="1:9">
      <c r="A1703" s="1206"/>
      <c r="B1703" s="606"/>
      <c r="C1703" s="1046"/>
      <c r="D1703" s="1048"/>
      <c r="E1703" s="1068"/>
      <c r="F1703" s="1044"/>
      <c r="G1703" s="1077">
        <f t="shared" si="26"/>
        <v>0</v>
      </c>
      <c r="H1703" s="1042" t="str">
        <f>IF(C1703="","",VLOOKUP(C1703,Compte!$A$3:$B$346,2,0))</f>
        <v/>
      </c>
      <c r="I1703" s="1043" t="str">
        <f>IF(D1703="","",VLOOKUP(D1703,Compte!$A$3:$B$346,2,0))</f>
        <v/>
      </c>
    </row>
    <row r="1704" spans="1:9">
      <c r="A1704" s="1206"/>
      <c r="B1704" s="606"/>
      <c r="C1704" s="1046"/>
      <c r="D1704" s="1048"/>
      <c r="E1704" s="1068"/>
      <c r="F1704" s="1044"/>
      <c r="G1704" s="1077">
        <f t="shared" si="26"/>
        <v>0</v>
      </c>
      <c r="H1704" s="1042" t="str">
        <f>IF(C1704="","",VLOOKUP(C1704,Compte!$A$3:$B$346,2,0))</f>
        <v/>
      </c>
      <c r="I1704" s="1043" t="str">
        <f>IF(D1704="","",VLOOKUP(D1704,Compte!$A$3:$B$346,2,0))</f>
        <v/>
      </c>
    </row>
    <row r="1705" spans="1:9">
      <c r="A1705" s="1206"/>
      <c r="B1705" s="606"/>
      <c r="C1705" s="1046"/>
      <c r="D1705" s="1048"/>
      <c r="E1705" s="1068"/>
      <c r="F1705" s="1044"/>
      <c r="G1705" s="1077">
        <f t="shared" si="26"/>
        <v>0</v>
      </c>
      <c r="H1705" s="1042" t="str">
        <f>IF(C1705="","",VLOOKUP(C1705,Compte!$A$3:$B$346,2,0))</f>
        <v/>
      </c>
      <c r="I1705" s="1043" t="str">
        <f>IF(D1705="","",VLOOKUP(D1705,Compte!$A$3:$B$346,2,0))</f>
        <v/>
      </c>
    </row>
    <row r="1706" spans="1:9">
      <c r="A1706" s="1206"/>
      <c r="B1706" s="606"/>
      <c r="C1706" s="1046"/>
      <c r="D1706" s="1048"/>
      <c r="E1706" s="1068"/>
      <c r="F1706" s="1044"/>
      <c r="G1706" s="1077">
        <f t="shared" si="26"/>
        <v>0</v>
      </c>
      <c r="H1706" s="1042" t="str">
        <f>IF(C1706="","",VLOOKUP(C1706,Compte!$A$3:$B$346,2,0))</f>
        <v/>
      </c>
      <c r="I1706" s="1043" t="str">
        <f>IF(D1706="","",VLOOKUP(D1706,Compte!$A$3:$B$346,2,0))</f>
        <v/>
      </c>
    </row>
    <row r="1707" spans="1:9">
      <c r="A1707" s="1206"/>
      <c r="B1707" s="606"/>
      <c r="C1707" s="1046"/>
      <c r="D1707" s="1048"/>
      <c r="E1707" s="1068"/>
      <c r="F1707" s="1044"/>
      <c r="G1707" s="1077">
        <f t="shared" si="26"/>
        <v>0</v>
      </c>
      <c r="H1707" s="1042" t="str">
        <f>IF(C1707="","",VLOOKUP(C1707,Compte!$A$3:$B$346,2,0))</f>
        <v/>
      </c>
      <c r="I1707" s="1043" t="str">
        <f>IF(D1707="","",VLOOKUP(D1707,Compte!$A$3:$B$346,2,0))</f>
        <v/>
      </c>
    </row>
    <row r="1708" spans="1:9">
      <c r="A1708" s="1206"/>
      <c r="B1708" s="606"/>
      <c r="C1708" s="1046"/>
      <c r="D1708" s="1048"/>
      <c r="E1708" s="1068"/>
      <c r="F1708" s="1044"/>
      <c r="G1708" s="1077">
        <f t="shared" si="26"/>
        <v>0</v>
      </c>
      <c r="H1708" s="1042" t="str">
        <f>IF(C1708="","",VLOOKUP(C1708,Compte!$A$3:$B$346,2,0))</f>
        <v/>
      </c>
      <c r="I1708" s="1043" t="str">
        <f>IF(D1708="","",VLOOKUP(D1708,Compte!$A$3:$B$346,2,0))</f>
        <v/>
      </c>
    </row>
    <row r="1709" spans="1:9">
      <c r="A1709" s="1206"/>
      <c r="B1709" s="606"/>
      <c r="C1709" s="1046"/>
      <c r="D1709" s="1048"/>
      <c r="E1709" s="1068"/>
      <c r="F1709" s="1044"/>
      <c r="G1709" s="1077">
        <f t="shared" si="26"/>
        <v>0</v>
      </c>
      <c r="H1709" s="1042" t="str">
        <f>IF(C1709="","",VLOOKUP(C1709,Compte!$A$3:$B$346,2,0))</f>
        <v/>
      </c>
      <c r="I1709" s="1043" t="str">
        <f>IF(D1709="","",VLOOKUP(D1709,Compte!$A$3:$B$346,2,0))</f>
        <v/>
      </c>
    </row>
    <row r="1710" spans="1:9">
      <c r="A1710" s="1206"/>
      <c r="B1710" s="606"/>
      <c r="C1710" s="1046"/>
      <c r="D1710" s="1048"/>
      <c r="E1710" s="1068"/>
      <c r="F1710" s="1044"/>
      <c r="G1710" s="1077">
        <f t="shared" si="26"/>
        <v>0</v>
      </c>
      <c r="H1710" s="1042" t="str">
        <f>IF(C1710="","",VLOOKUP(C1710,Compte!$A$3:$B$346,2,0))</f>
        <v/>
      </c>
      <c r="I1710" s="1043" t="str">
        <f>IF(D1710="","",VLOOKUP(D1710,Compte!$A$3:$B$346,2,0))</f>
        <v/>
      </c>
    </row>
    <row r="1711" spans="1:9">
      <c r="A1711" s="1206"/>
      <c r="B1711" s="606"/>
      <c r="C1711" s="1046"/>
      <c r="D1711" s="1048"/>
      <c r="E1711" s="1068"/>
      <c r="F1711" s="1044"/>
      <c r="G1711" s="1077">
        <f t="shared" si="26"/>
        <v>0</v>
      </c>
      <c r="H1711" s="1042" t="str">
        <f>IF(C1711="","",VLOOKUP(C1711,Compte!$A$3:$B$346,2,0))</f>
        <v/>
      </c>
      <c r="I1711" s="1043" t="str">
        <f>IF(D1711="","",VLOOKUP(D1711,Compte!$A$3:$B$346,2,0))</f>
        <v/>
      </c>
    </row>
    <row r="1712" spans="1:9">
      <c r="A1712" s="1206"/>
      <c r="B1712" s="606"/>
      <c r="C1712" s="1046"/>
      <c r="D1712" s="1048"/>
      <c r="E1712" s="1068"/>
      <c r="F1712" s="1044"/>
      <c r="G1712" s="1077">
        <f t="shared" si="26"/>
        <v>0</v>
      </c>
      <c r="H1712" s="1042" t="str">
        <f>IF(C1712="","",VLOOKUP(C1712,Compte!$A$3:$B$346,2,0))</f>
        <v/>
      </c>
      <c r="I1712" s="1043" t="str">
        <f>IF(D1712="","",VLOOKUP(D1712,Compte!$A$3:$B$346,2,0))</f>
        <v/>
      </c>
    </row>
    <row r="1713" spans="1:9">
      <c r="A1713" s="1206"/>
      <c r="B1713" s="606"/>
      <c r="C1713" s="1046"/>
      <c r="D1713" s="1048"/>
      <c r="E1713" s="1068"/>
      <c r="F1713" s="1044"/>
      <c r="G1713" s="1077">
        <f t="shared" si="26"/>
        <v>0</v>
      </c>
      <c r="H1713" s="1042" t="str">
        <f>IF(C1713="","",VLOOKUP(C1713,Compte!$A$3:$B$346,2,0))</f>
        <v/>
      </c>
      <c r="I1713" s="1043" t="str">
        <f>IF(D1713="","",VLOOKUP(D1713,Compte!$A$3:$B$346,2,0))</f>
        <v/>
      </c>
    </row>
    <row r="1714" spans="1:9">
      <c r="A1714" s="1206"/>
      <c r="B1714" s="606"/>
      <c r="C1714" s="1046"/>
      <c r="D1714" s="1048"/>
      <c r="E1714" s="1068"/>
      <c r="F1714" s="1044"/>
      <c r="G1714" s="1077">
        <f t="shared" si="26"/>
        <v>0</v>
      </c>
      <c r="H1714" s="1042" t="str">
        <f>IF(C1714="","",VLOOKUP(C1714,Compte!$A$3:$B$346,2,0))</f>
        <v/>
      </c>
      <c r="I1714" s="1043" t="str">
        <f>IF(D1714="","",VLOOKUP(D1714,Compte!$A$3:$B$346,2,0))</f>
        <v/>
      </c>
    </row>
    <row r="1715" spans="1:9">
      <c r="A1715" s="1206"/>
      <c r="B1715" s="606"/>
      <c r="C1715" s="1046"/>
      <c r="D1715" s="1048"/>
      <c r="E1715" s="1068"/>
      <c r="F1715" s="1044"/>
      <c r="G1715" s="1077">
        <f t="shared" si="26"/>
        <v>0</v>
      </c>
      <c r="H1715" s="1042" t="str">
        <f>IF(C1715="","",VLOOKUP(C1715,Compte!$A$3:$B$346,2,0))</f>
        <v/>
      </c>
      <c r="I1715" s="1043" t="str">
        <f>IF(D1715="","",VLOOKUP(D1715,Compte!$A$3:$B$346,2,0))</f>
        <v/>
      </c>
    </row>
    <row r="1716" spans="1:9">
      <c r="A1716" s="1206"/>
      <c r="B1716" s="606"/>
      <c r="C1716" s="1046"/>
      <c r="D1716" s="1048"/>
      <c r="E1716" s="1068"/>
      <c r="F1716" s="1044"/>
      <c r="G1716" s="1077">
        <f t="shared" si="26"/>
        <v>0</v>
      </c>
      <c r="H1716" s="1042" t="str">
        <f>IF(C1716="","",VLOOKUP(C1716,Compte!$A$3:$B$346,2,0))</f>
        <v/>
      </c>
      <c r="I1716" s="1043" t="str">
        <f>IF(D1716="","",VLOOKUP(D1716,Compte!$A$3:$B$346,2,0))</f>
        <v/>
      </c>
    </row>
    <row r="1717" spans="1:9">
      <c r="A1717" s="1206"/>
      <c r="B1717" s="606"/>
      <c r="C1717" s="1046"/>
      <c r="D1717" s="1048"/>
      <c r="E1717" s="1068"/>
      <c r="F1717" s="1044"/>
      <c r="G1717" s="1077">
        <f t="shared" si="26"/>
        <v>0</v>
      </c>
      <c r="H1717" s="1042" t="str">
        <f>IF(C1717="","",VLOOKUP(C1717,Compte!$A$3:$B$346,2,0))</f>
        <v/>
      </c>
      <c r="I1717" s="1043" t="str">
        <f>IF(D1717="","",VLOOKUP(D1717,Compte!$A$3:$B$346,2,0))</f>
        <v/>
      </c>
    </row>
    <row r="1718" spans="1:9">
      <c r="A1718" s="1206"/>
      <c r="B1718" s="606"/>
      <c r="C1718" s="1046"/>
      <c r="D1718" s="1048"/>
      <c r="E1718" s="1068"/>
      <c r="F1718" s="1044"/>
      <c r="G1718" s="1077">
        <f t="shared" si="26"/>
        <v>0</v>
      </c>
      <c r="H1718" s="1042" t="str">
        <f>IF(C1718="","",VLOOKUP(C1718,Compte!$A$3:$B$346,2,0))</f>
        <v/>
      </c>
      <c r="I1718" s="1043" t="str">
        <f>IF(D1718="","",VLOOKUP(D1718,Compte!$A$3:$B$346,2,0))</f>
        <v/>
      </c>
    </row>
    <row r="1719" spans="1:9">
      <c r="A1719" s="1206"/>
      <c r="B1719" s="606"/>
      <c r="C1719" s="1046"/>
      <c r="D1719" s="1048"/>
      <c r="E1719" s="1068"/>
      <c r="F1719" s="1044"/>
      <c r="G1719" s="1077">
        <f t="shared" si="26"/>
        <v>0</v>
      </c>
      <c r="H1719" s="1042" t="str">
        <f>IF(C1719="","",VLOOKUP(C1719,Compte!$A$3:$B$346,2,0))</f>
        <v/>
      </c>
      <c r="I1719" s="1043" t="str">
        <f>IF(D1719="","",VLOOKUP(D1719,Compte!$A$3:$B$346,2,0))</f>
        <v/>
      </c>
    </row>
    <row r="1720" spans="1:9">
      <c r="A1720" s="1206"/>
      <c r="B1720" s="606"/>
      <c r="C1720" s="1046"/>
      <c r="D1720" s="1048"/>
      <c r="E1720" s="1068"/>
      <c r="F1720" s="1044"/>
      <c r="G1720" s="1077">
        <f t="shared" si="26"/>
        <v>0</v>
      </c>
      <c r="H1720" s="1042" t="str">
        <f>IF(C1720="","",VLOOKUP(C1720,Compte!$A$3:$B$346,2,0))</f>
        <v/>
      </c>
      <c r="I1720" s="1043" t="str">
        <f>IF(D1720="","",VLOOKUP(D1720,Compte!$A$3:$B$346,2,0))</f>
        <v/>
      </c>
    </row>
    <row r="1721" spans="1:9">
      <c r="A1721" s="1206"/>
      <c r="B1721" s="606"/>
      <c r="C1721" s="1046"/>
      <c r="D1721" s="1048"/>
      <c r="E1721" s="1068"/>
      <c r="F1721" s="1044"/>
      <c r="G1721" s="1077">
        <f t="shared" si="26"/>
        <v>0</v>
      </c>
      <c r="H1721" s="1042" t="str">
        <f>IF(C1721="","",VLOOKUP(C1721,Compte!$A$3:$B$346,2,0))</f>
        <v/>
      </c>
      <c r="I1721" s="1043" t="str">
        <f>IF(D1721="","",VLOOKUP(D1721,Compte!$A$3:$B$346,2,0))</f>
        <v/>
      </c>
    </row>
    <row r="1722" spans="1:9">
      <c r="A1722" s="1206"/>
      <c r="B1722" s="606"/>
      <c r="C1722" s="1046"/>
      <c r="D1722" s="1048"/>
      <c r="E1722" s="1068"/>
      <c r="F1722" s="1044"/>
      <c r="G1722" s="1077">
        <f t="shared" si="26"/>
        <v>0</v>
      </c>
      <c r="H1722" s="1042" t="str">
        <f>IF(C1722="","",VLOOKUP(C1722,Compte!$A$3:$B$346,2,0))</f>
        <v/>
      </c>
      <c r="I1722" s="1043" t="str">
        <f>IF(D1722="","",VLOOKUP(D1722,Compte!$A$3:$B$346,2,0))</f>
        <v/>
      </c>
    </row>
    <row r="1723" spans="1:9">
      <c r="A1723" s="1206"/>
      <c r="B1723" s="606"/>
      <c r="C1723" s="1046"/>
      <c r="D1723" s="1048"/>
      <c r="E1723" s="1068"/>
      <c r="F1723" s="1044"/>
      <c r="G1723" s="1077">
        <f t="shared" si="26"/>
        <v>0</v>
      </c>
      <c r="H1723" s="1042" t="str">
        <f>IF(C1723="","",VLOOKUP(C1723,Compte!$A$3:$B$346,2,0))</f>
        <v/>
      </c>
      <c r="I1723" s="1043" t="str">
        <f>IF(D1723="","",VLOOKUP(D1723,Compte!$A$3:$B$346,2,0))</f>
        <v/>
      </c>
    </row>
    <row r="1724" spans="1:9">
      <c r="A1724" s="1206"/>
      <c r="B1724" s="606"/>
      <c r="C1724" s="1046"/>
      <c r="D1724" s="1048"/>
      <c r="E1724" s="1068"/>
      <c r="F1724" s="1044"/>
      <c r="G1724" s="1077">
        <f t="shared" si="26"/>
        <v>0</v>
      </c>
      <c r="H1724" s="1042" t="str">
        <f>IF(C1724="","",VLOOKUP(C1724,Compte!$A$3:$B$346,2,0))</f>
        <v/>
      </c>
      <c r="I1724" s="1043" t="str">
        <f>IF(D1724="","",VLOOKUP(D1724,Compte!$A$3:$B$346,2,0))</f>
        <v/>
      </c>
    </row>
    <row r="1725" spans="1:9">
      <c r="A1725" s="1206"/>
      <c r="B1725" s="606"/>
      <c r="C1725" s="1046"/>
      <c r="D1725" s="1048"/>
      <c r="E1725" s="1068"/>
      <c r="F1725" s="1044"/>
      <c r="G1725" s="1077">
        <f t="shared" si="26"/>
        <v>0</v>
      </c>
      <c r="H1725" s="1042" t="str">
        <f>IF(C1725="","",VLOOKUP(C1725,Compte!$A$3:$B$346,2,0))</f>
        <v/>
      </c>
      <c r="I1725" s="1043" t="str">
        <f>IF(D1725="","",VLOOKUP(D1725,Compte!$A$3:$B$346,2,0))</f>
        <v/>
      </c>
    </row>
    <row r="1726" spans="1:9">
      <c r="A1726" s="1206"/>
      <c r="B1726" s="606"/>
      <c r="C1726" s="1046"/>
      <c r="D1726" s="1048"/>
      <c r="E1726" s="1068"/>
      <c r="F1726" s="1044"/>
      <c r="G1726" s="1077">
        <f t="shared" si="26"/>
        <v>0</v>
      </c>
      <c r="H1726" s="1042" t="str">
        <f>IF(C1726="","",VLOOKUP(C1726,Compte!$A$3:$B$346,2,0))</f>
        <v/>
      </c>
      <c r="I1726" s="1043" t="str">
        <f>IF(D1726="","",VLOOKUP(D1726,Compte!$A$3:$B$346,2,0))</f>
        <v/>
      </c>
    </row>
    <row r="1727" spans="1:9">
      <c r="A1727" s="1206"/>
      <c r="B1727" s="606"/>
      <c r="C1727" s="1046"/>
      <c r="D1727" s="1048"/>
      <c r="E1727" s="1068"/>
      <c r="F1727" s="1044"/>
      <c r="G1727" s="1077">
        <f t="shared" si="26"/>
        <v>0</v>
      </c>
      <c r="H1727" s="1042" t="str">
        <f>IF(C1727="","",VLOOKUP(C1727,Compte!$A$3:$B$346,2,0))</f>
        <v/>
      </c>
      <c r="I1727" s="1043" t="str">
        <f>IF(D1727="","",VLOOKUP(D1727,Compte!$A$3:$B$346,2,0))</f>
        <v/>
      </c>
    </row>
    <row r="1728" spans="1:9">
      <c r="A1728" s="1206"/>
      <c r="B1728" s="606"/>
      <c r="C1728" s="1046"/>
      <c r="D1728" s="1048"/>
      <c r="E1728" s="1068"/>
      <c r="F1728" s="1044"/>
      <c r="G1728" s="1077">
        <f t="shared" si="26"/>
        <v>0</v>
      </c>
      <c r="H1728" s="1042" t="str">
        <f>IF(C1728="","",VLOOKUP(C1728,Compte!$A$3:$B$346,2,0))</f>
        <v/>
      </c>
      <c r="I1728" s="1043" t="str">
        <f>IF(D1728="","",VLOOKUP(D1728,Compte!$A$3:$B$346,2,0))</f>
        <v/>
      </c>
    </row>
    <row r="1729" spans="1:9">
      <c r="A1729" s="1206"/>
      <c r="B1729" s="606"/>
      <c r="C1729" s="1046"/>
      <c r="D1729" s="1048"/>
      <c r="E1729" s="1068"/>
      <c r="F1729" s="1044"/>
      <c r="G1729" s="1077">
        <f t="shared" si="26"/>
        <v>0</v>
      </c>
      <c r="H1729" s="1042" t="str">
        <f>IF(C1729="","",VLOOKUP(C1729,Compte!$A$3:$B$346,2,0))</f>
        <v/>
      </c>
      <c r="I1729" s="1043" t="str">
        <f>IF(D1729="","",VLOOKUP(D1729,Compte!$A$3:$B$346,2,0))</f>
        <v/>
      </c>
    </row>
    <row r="1730" spans="1:9">
      <c r="A1730" s="1206"/>
      <c r="B1730" s="606"/>
      <c r="C1730" s="1046"/>
      <c r="D1730" s="1048"/>
      <c r="E1730" s="1068"/>
      <c r="F1730" s="1044"/>
      <c r="G1730" s="1077">
        <f t="shared" si="26"/>
        <v>0</v>
      </c>
      <c r="H1730" s="1042" t="str">
        <f>IF(C1730="","",VLOOKUP(C1730,Compte!$A$3:$B$346,2,0))</f>
        <v/>
      </c>
      <c r="I1730" s="1043" t="str">
        <f>IF(D1730="","",VLOOKUP(D1730,Compte!$A$3:$B$346,2,0))</f>
        <v/>
      </c>
    </row>
    <row r="1731" spans="1:9">
      <c r="A1731" s="1206"/>
      <c r="B1731" s="606"/>
      <c r="C1731" s="1046"/>
      <c r="D1731" s="1048"/>
      <c r="E1731" s="1068"/>
      <c r="F1731" s="1044"/>
      <c r="G1731" s="1077">
        <f t="shared" si="26"/>
        <v>0</v>
      </c>
      <c r="H1731" s="1042" t="str">
        <f>IF(C1731="","",VLOOKUP(C1731,Compte!$A$3:$B$346,2,0))</f>
        <v/>
      </c>
      <c r="I1731" s="1043" t="str">
        <f>IF(D1731="","",VLOOKUP(D1731,Compte!$A$3:$B$346,2,0))</f>
        <v/>
      </c>
    </row>
    <row r="1732" spans="1:9">
      <c r="A1732" s="1206"/>
      <c r="B1732" s="606"/>
      <c r="C1732" s="1046"/>
      <c r="D1732" s="1048"/>
      <c r="E1732" s="1068"/>
      <c r="F1732" s="1044"/>
      <c r="G1732" s="1077">
        <f t="shared" si="26"/>
        <v>0</v>
      </c>
      <c r="H1732" s="1042" t="str">
        <f>IF(C1732="","",VLOOKUP(C1732,Compte!$A$3:$B$346,2,0))</f>
        <v/>
      </c>
      <c r="I1732" s="1043" t="str">
        <f>IF(D1732="","",VLOOKUP(D1732,Compte!$A$3:$B$346,2,0))</f>
        <v/>
      </c>
    </row>
    <row r="1733" spans="1:9">
      <c r="A1733" s="1206"/>
      <c r="B1733" s="606"/>
      <c r="C1733" s="1046"/>
      <c r="D1733" s="1048"/>
      <c r="E1733" s="1068"/>
      <c r="F1733" s="1044"/>
      <c r="G1733" s="1077">
        <f t="shared" si="26"/>
        <v>0</v>
      </c>
      <c r="H1733" s="1042" t="str">
        <f>IF(C1733="","",VLOOKUP(C1733,Compte!$A$3:$B$346,2,0))</f>
        <v/>
      </c>
      <c r="I1733" s="1043" t="str">
        <f>IF(D1733="","",VLOOKUP(D1733,Compte!$A$3:$B$346,2,0))</f>
        <v/>
      </c>
    </row>
    <row r="1734" spans="1:9">
      <c r="A1734" s="1206"/>
      <c r="B1734" s="606"/>
      <c r="C1734" s="1046"/>
      <c r="D1734" s="1048"/>
      <c r="E1734" s="1068"/>
      <c r="F1734" s="1044"/>
      <c r="G1734" s="1077">
        <f t="shared" si="26"/>
        <v>0</v>
      </c>
      <c r="H1734" s="1042" t="str">
        <f>IF(C1734="","",VLOOKUP(C1734,Compte!$A$3:$B$346,2,0))</f>
        <v/>
      </c>
      <c r="I1734" s="1043" t="str">
        <f>IF(D1734="","",VLOOKUP(D1734,Compte!$A$3:$B$346,2,0))</f>
        <v/>
      </c>
    </row>
    <row r="1735" spans="1:9">
      <c r="A1735" s="1206"/>
      <c r="B1735" s="606"/>
      <c r="C1735" s="1046"/>
      <c r="D1735" s="1048"/>
      <c r="E1735" s="1068"/>
      <c r="F1735" s="1044"/>
      <c r="G1735" s="1077">
        <f t="shared" si="26"/>
        <v>0</v>
      </c>
      <c r="H1735" s="1042" t="str">
        <f>IF(C1735="","",VLOOKUP(C1735,Compte!$A$3:$B$346,2,0))</f>
        <v/>
      </c>
      <c r="I1735" s="1043" t="str">
        <f>IF(D1735="","",VLOOKUP(D1735,Compte!$A$3:$B$346,2,0))</f>
        <v/>
      </c>
    </row>
    <row r="1736" spans="1:9">
      <c r="A1736" s="1206"/>
      <c r="B1736" s="606"/>
      <c r="C1736" s="1046"/>
      <c r="D1736" s="1048"/>
      <c r="E1736" s="1068"/>
      <c r="F1736" s="1044"/>
      <c r="G1736" s="1077">
        <f t="shared" ref="G1736:G1799" si="27">IF(C1736="",F1736,E1736)</f>
        <v>0</v>
      </c>
      <c r="H1736" s="1042" t="str">
        <f>IF(C1736="","",VLOOKUP(C1736,Compte!$A$3:$B$346,2,0))</f>
        <v/>
      </c>
      <c r="I1736" s="1043" t="str">
        <f>IF(D1736="","",VLOOKUP(D1736,Compte!$A$3:$B$346,2,0))</f>
        <v/>
      </c>
    </row>
    <row r="1737" spans="1:9">
      <c r="A1737" s="1206"/>
      <c r="B1737" s="606"/>
      <c r="C1737" s="1046"/>
      <c r="D1737" s="1048"/>
      <c r="E1737" s="1068"/>
      <c r="F1737" s="1044"/>
      <c r="G1737" s="1077">
        <f t="shared" si="27"/>
        <v>0</v>
      </c>
      <c r="H1737" s="1042" t="str">
        <f>IF(C1737="","",VLOOKUP(C1737,Compte!$A$3:$B$346,2,0))</f>
        <v/>
      </c>
      <c r="I1737" s="1043" t="str">
        <f>IF(D1737="","",VLOOKUP(D1737,Compte!$A$3:$B$346,2,0))</f>
        <v/>
      </c>
    </row>
    <row r="1738" spans="1:9">
      <c r="A1738" s="1206"/>
      <c r="B1738" s="606"/>
      <c r="C1738" s="1046"/>
      <c r="D1738" s="1048"/>
      <c r="E1738" s="1068"/>
      <c r="F1738" s="1044"/>
      <c r="G1738" s="1077">
        <f t="shared" si="27"/>
        <v>0</v>
      </c>
      <c r="H1738" s="1042" t="str">
        <f>IF(C1738="","",VLOOKUP(C1738,Compte!$A$3:$B$346,2,0))</f>
        <v/>
      </c>
      <c r="I1738" s="1043" t="str">
        <f>IF(D1738="","",VLOOKUP(D1738,Compte!$A$3:$B$346,2,0))</f>
        <v/>
      </c>
    </row>
    <row r="1739" spans="1:9">
      <c r="A1739" s="1206"/>
      <c r="B1739" s="606"/>
      <c r="C1739" s="1046"/>
      <c r="D1739" s="1048"/>
      <c r="E1739" s="1068"/>
      <c r="F1739" s="1044"/>
      <c r="G1739" s="1077">
        <f t="shared" si="27"/>
        <v>0</v>
      </c>
      <c r="H1739" s="1042" t="str">
        <f>IF(C1739="","",VLOOKUP(C1739,Compte!$A$3:$B$346,2,0))</f>
        <v/>
      </c>
      <c r="I1739" s="1043" t="str">
        <f>IF(D1739="","",VLOOKUP(D1739,Compte!$A$3:$B$346,2,0))</f>
        <v/>
      </c>
    </row>
    <row r="1740" spans="1:9">
      <c r="A1740" s="1206"/>
      <c r="B1740" s="606"/>
      <c r="C1740" s="1046"/>
      <c r="D1740" s="1048"/>
      <c r="E1740" s="1068"/>
      <c r="F1740" s="1044"/>
      <c r="G1740" s="1077">
        <f t="shared" si="27"/>
        <v>0</v>
      </c>
      <c r="H1740" s="1042" t="str">
        <f>IF(C1740="","",VLOOKUP(C1740,Compte!$A$3:$B$346,2,0))</f>
        <v/>
      </c>
      <c r="I1740" s="1043" t="str">
        <f>IF(D1740="","",VLOOKUP(D1740,Compte!$A$3:$B$346,2,0))</f>
        <v/>
      </c>
    </row>
    <row r="1741" spans="1:9">
      <c r="A1741" s="1206"/>
      <c r="B1741" s="606"/>
      <c r="C1741" s="1046"/>
      <c r="D1741" s="1048"/>
      <c r="E1741" s="1068"/>
      <c r="F1741" s="1044"/>
      <c r="G1741" s="1077">
        <f t="shared" si="27"/>
        <v>0</v>
      </c>
      <c r="H1741" s="1042" t="str">
        <f>IF(C1741="","",VLOOKUP(C1741,Compte!$A$3:$B$346,2,0))</f>
        <v/>
      </c>
      <c r="I1741" s="1043" t="str">
        <f>IF(D1741="","",VLOOKUP(D1741,Compte!$A$3:$B$346,2,0))</f>
        <v/>
      </c>
    </row>
    <row r="1742" spans="1:9">
      <c r="A1742" s="1206"/>
      <c r="B1742" s="606"/>
      <c r="C1742" s="1046"/>
      <c r="D1742" s="1048"/>
      <c r="E1742" s="1068"/>
      <c r="F1742" s="1044"/>
      <c r="G1742" s="1077">
        <f t="shared" si="27"/>
        <v>0</v>
      </c>
      <c r="H1742" s="1042" t="str">
        <f>IF(C1742="","",VLOOKUP(C1742,Compte!$A$3:$B$346,2,0))</f>
        <v/>
      </c>
      <c r="I1742" s="1043" t="str">
        <f>IF(D1742="","",VLOOKUP(D1742,Compte!$A$3:$B$346,2,0))</f>
        <v/>
      </c>
    </row>
    <row r="1743" spans="1:9">
      <c r="A1743" s="1206"/>
      <c r="B1743" s="606"/>
      <c r="C1743" s="1046"/>
      <c r="D1743" s="1048"/>
      <c r="E1743" s="1068"/>
      <c r="F1743" s="1044"/>
      <c r="G1743" s="1077">
        <f t="shared" si="27"/>
        <v>0</v>
      </c>
      <c r="H1743" s="1042" t="str">
        <f>IF(C1743="","",VLOOKUP(C1743,Compte!$A$3:$B$346,2,0))</f>
        <v/>
      </c>
      <c r="I1743" s="1043" t="str">
        <f>IF(D1743="","",VLOOKUP(D1743,Compte!$A$3:$B$346,2,0))</f>
        <v/>
      </c>
    </row>
    <row r="1744" spans="1:9">
      <c r="A1744" s="1206"/>
      <c r="B1744" s="606"/>
      <c r="C1744" s="1046"/>
      <c r="D1744" s="1048"/>
      <c r="E1744" s="1068"/>
      <c r="F1744" s="1044"/>
      <c r="G1744" s="1077">
        <f t="shared" si="27"/>
        <v>0</v>
      </c>
      <c r="H1744" s="1042" t="str">
        <f>IF(C1744="","",VLOOKUP(C1744,Compte!$A$3:$B$346,2,0))</f>
        <v/>
      </c>
      <c r="I1744" s="1043" t="str">
        <f>IF(D1744="","",VLOOKUP(D1744,Compte!$A$3:$B$346,2,0))</f>
        <v/>
      </c>
    </row>
    <row r="1745" spans="1:9">
      <c r="A1745" s="1206"/>
      <c r="B1745" s="606"/>
      <c r="C1745" s="1046"/>
      <c r="D1745" s="1048"/>
      <c r="E1745" s="1068"/>
      <c r="F1745" s="1044"/>
      <c r="G1745" s="1077">
        <f t="shared" si="27"/>
        <v>0</v>
      </c>
      <c r="H1745" s="1042" t="str">
        <f>IF(C1745="","",VLOOKUP(C1745,Compte!$A$3:$B$346,2,0))</f>
        <v/>
      </c>
      <c r="I1745" s="1043" t="str">
        <f>IF(D1745="","",VLOOKUP(D1745,Compte!$A$3:$B$346,2,0))</f>
        <v/>
      </c>
    </row>
    <row r="1746" spans="1:9">
      <c r="A1746" s="1206"/>
      <c r="B1746" s="606"/>
      <c r="C1746" s="1046"/>
      <c r="D1746" s="1048"/>
      <c r="E1746" s="1068"/>
      <c r="F1746" s="1044"/>
      <c r="G1746" s="1077">
        <f t="shared" si="27"/>
        <v>0</v>
      </c>
      <c r="H1746" s="1042" t="str">
        <f>IF(C1746="","",VLOOKUP(C1746,Compte!$A$3:$B$346,2,0))</f>
        <v/>
      </c>
      <c r="I1746" s="1043" t="str">
        <f>IF(D1746="","",VLOOKUP(D1746,Compte!$A$3:$B$346,2,0))</f>
        <v/>
      </c>
    </row>
    <row r="1747" spans="1:9">
      <c r="A1747" s="1206"/>
      <c r="B1747" s="606"/>
      <c r="C1747" s="1046"/>
      <c r="D1747" s="1048"/>
      <c r="E1747" s="1068"/>
      <c r="F1747" s="1044"/>
      <c r="G1747" s="1077">
        <f t="shared" si="27"/>
        <v>0</v>
      </c>
      <c r="H1747" s="1042" t="str">
        <f>IF(C1747="","",VLOOKUP(C1747,Compte!$A$3:$B$346,2,0))</f>
        <v/>
      </c>
      <c r="I1747" s="1043" t="str">
        <f>IF(D1747="","",VLOOKUP(D1747,Compte!$A$3:$B$346,2,0))</f>
        <v/>
      </c>
    </row>
    <row r="1748" spans="1:9">
      <c r="A1748" s="1206"/>
      <c r="B1748" s="606"/>
      <c r="C1748" s="1046"/>
      <c r="D1748" s="1048"/>
      <c r="E1748" s="1068"/>
      <c r="F1748" s="1044"/>
      <c r="G1748" s="1077">
        <f t="shared" si="27"/>
        <v>0</v>
      </c>
      <c r="H1748" s="1042" t="str">
        <f>IF(C1748="","",VLOOKUP(C1748,Compte!$A$3:$B$346,2,0))</f>
        <v/>
      </c>
      <c r="I1748" s="1043" t="str">
        <f>IF(D1748="","",VLOOKUP(D1748,Compte!$A$3:$B$346,2,0))</f>
        <v/>
      </c>
    </row>
    <row r="1749" spans="1:9">
      <c r="A1749" s="1206"/>
      <c r="B1749" s="606"/>
      <c r="C1749" s="1046"/>
      <c r="D1749" s="1048"/>
      <c r="E1749" s="1068"/>
      <c r="F1749" s="1044"/>
      <c r="G1749" s="1077">
        <f t="shared" si="27"/>
        <v>0</v>
      </c>
      <c r="H1749" s="1042" t="str">
        <f>IF(C1749="","",VLOOKUP(C1749,Compte!$A$3:$B$346,2,0))</f>
        <v/>
      </c>
      <c r="I1749" s="1043" t="str">
        <f>IF(D1749="","",VLOOKUP(D1749,Compte!$A$3:$B$346,2,0))</f>
        <v/>
      </c>
    </row>
    <row r="1750" spans="1:9">
      <c r="A1750" s="1206"/>
      <c r="B1750" s="606"/>
      <c r="C1750" s="1046"/>
      <c r="D1750" s="1048"/>
      <c r="E1750" s="1068"/>
      <c r="F1750" s="1044"/>
      <c r="G1750" s="1077">
        <f t="shared" si="27"/>
        <v>0</v>
      </c>
      <c r="H1750" s="1042" t="str">
        <f>IF(C1750="","",VLOOKUP(C1750,Compte!$A$3:$B$346,2,0))</f>
        <v/>
      </c>
      <c r="I1750" s="1043" t="str">
        <f>IF(D1750="","",VLOOKUP(D1750,Compte!$A$3:$B$346,2,0))</f>
        <v/>
      </c>
    </row>
    <row r="1751" spans="1:9">
      <c r="A1751" s="1206"/>
      <c r="B1751" s="606"/>
      <c r="C1751" s="1046"/>
      <c r="D1751" s="1048"/>
      <c r="E1751" s="1068"/>
      <c r="F1751" s="1044"/>
      <c r="G1751" s="1077">
        <f t="shared" si="27"/>
        <v>0</v>
      </c>
      <c r="H1751" s="1042" t="str">
        <f>IF(C1751="","",VLOOKUP(C1751,Compte!$A$3:$B$346,2,0))</f>
        <v/>
      </c>
      <c r="I1751" s="1043" t="str">
        <f>IF(D1751="","",VLOOKUP(D1751,Compte!$A$3:$B$346,2,0))</f>
        <v/>
      </c>
    </row>
    <row r="1752" spans="1:9">
      <c r="A1752" s="1206"/>
      <c r="B1752" s="606"/>
      <c r="C1752" s="1046"/>
      <c r="D1752" s="1048"/>
      <c r="E1752" s="1068"/>
      <c r="F1752" s="1044"/>
      <c r="G1752" s="1077">
        <f t="shared" si="27"/>
        <v>0</v>
      </c>
      <c r="H1752" s="1042" t="str">
        <f>IF(C1752="","",VLOOKUP(C1752,Compte!$A$3:$B$346,2,0))</f>
        <v/>
      </c>
      <c r="I1752" s="1043" t="str">
        <f>IF(D1752="","",VLOOKUP(D1752,Compte!$A$3:$B$346,2,0))</f>
        <v/>
      </c>
    </row>
    <row r="1753" spans="1:9">
      <c r="A1753" s="1206"/>
      <c r="B1753" s="606"/>
      <c r="C1753" s="1046"/>
      <c r="D1753" s="1048"/>
      <c r="E1753" s="1068"/>
      <c r="F1753" s="1044"/>
      <c r="G1753" s="1077">
        <f t="shared" si="27"/>
        <v>0</v>
      </c>
      <c r="H1753" s="1042" t="str">
        <f>IF(C1753="","",VLOOKUP(C1753,Compte!$A$3:$B$346,2,0))</f>
        <v/>
      </c>
      <c r="I1753" s="1043" t="str">
        <f>IF(D1753="","",VLOOKUP(D1753,Compte!$A$3:$B$346,2,0))</f>
        <v/>
      </c>
    </row>
    <row r="1754" spans="1:9">
      <c r="A1754" s="1206"/>
      <c r="B1754" s="606"/>
      <c r="C1754" s="1046"/>
      <c r="D1754" s="1048"/>
      <c r="E1754" s="1068"/>
      <c r="F1754" s="1044"/>
      <c r="G1754" s="1077">
        <f t="shared" si="27"/>
        <v>0</v>
      </c>
      <c r="H1754" s="1042" t="str">
        <f>IF(C1754="","",VLOOKUP(C1754,Compte!$A$3:$B$346,2,0))</f>
        <v/>
      </c>
      <c r="I1754" s="1043" t="str">
        <f>IF(D1754="","",VLOOKUP(D1754,Compte!$A$3:$B$346,2,0))</f>
        <v/>
      </c>
    </row>
    <row r="1755" spans="1:9">
      <c r="A1755" s="1206"/>
      <c r="B1755" s="606"/>
      <c r="C1755" s="1046"/>
      <c r="D1755" s="1048"/>
      <c r="E1755" s="1068"/>
      <c r="F1755" s="1044"/>
      <c r="G1755" s="1077">
        <f t="shared" si="27"/>
        <v>0</v>
      </c>
      <c r="H1755" s="1042" t="str">
        <f>IF(C1755="","",VLOOKUP(C1755,Compte!$A$3:$B$346,2,0))</f>
        <v/>
      </c>
      <c r="I1755" s="1043" t="str">
        <f>IF(D1755="","",VLOOKUP(D1755,Compte!$A$3:$B$346,2,0))</f>
        <v/>
      </c>
    </row>
    <row r="1756" spans="1:9">
      <c r="A1756" s="1206"/>
      <c r="B1756" s="606"/>
      <c r="C1756" s="1046"/>
      <c r="D1756" s="1048"/>
      <c r="E1756" s="1068"/>
      <c r="F1756" s="1044"/>
      <c r="G1756" s="1077">
        <f t="shared" si="27"/>
        <v>0</v>
      </c>
      <c r="H1756" s="1042" t="str">
        <f>IF(C1756="","",VLOOKUP(C1756,Compte!$A$3:$B$346,2,0))</f>
        <v/>
      </c>
      <c r="I1756" s="1043" t="str">
        <f>IF(D1756="","",VLOOKUP(D1756,Compte!$A$3:$B$346,2,0))</f>
        <v/>
      </c>
    </row>
    <row r="1757" spans="1:9">
      <c r="A1757" s="1206"/>
      <c r="B1757" s="606"/>
      <c r="C1757" s="1046"/>
      <c r="D1757" s="1048"/>
      <c r="E1757" s="1068"/>
      <c r="F1757" s="1044"/>
      <c r="G1757" s="1077">
        <f t="shared" si="27"/>
        <v>0</v>
      </c>
      <c r="H1757" s="1042" t="str">
        <f>IF(C1757="","",VLOOKUP(C1757,Compte!$A$3:$B$346,2,0))</f>
        <v/>
      </c>
      <c r="I1757" s="1043" t="str">
        <f>IF(D1757="","",VLOOKUP(D1757,Compte!$A$3:$B$346,2,0))</f>
        <v/>
      </c>
    </row>
    <row r="1758" spans="1:9">
      <c r="A1758" s="1206"/>
      <c r="B1758" s="606"/>
      <c r="C1758" s="1046"/>
      <c r="D1758" s="1048"/>
      <c r="E1758" s="1068"/>
      <c r="F1758" s="1044"/>
      <c r="G1758" s="1077">
        <f t="shared" si="27"/>
        <v>0</v>
      </c>
      <c r="H1758" s="1042" t="str">
        <f>IF(C1758="","",VLOOKUP(C1758,Compte!$A$3:$B$346,2,0))</f>
        <v/>
      </c>
      <c r="I1758" s="1043" t="str">
        <f>IF(D1758="","",VLOOKUP(D1758,Compte!$A$3:$B$346,2,0))</f>
        <v/>
      </c>
    </row>
    <row r="1759" spans="1:9">
      <c r="A1759" s="1206"/>
      <c r="B1759" s="606"/>
      <c r="C1759" s="1046"/>
      <c r="D1759" s="1048"/>
      <c r="E1759" s="1068"/>
      <c r="F1759" s="1044"/>
      <c r="G1759" s="1077">
        <f t="shared" si="27"/>
        <v>0</v>
      </c>
      <c r="H1759" s="1042" t="str">
        <f>IF(C1759="","",VLOOKUP(C1759,Compte!$A$3:$B$346,2,0))</f>
        <v/>
      </c>
      <c r="I1759" s="1043" t="str">
        <f>IF(D1759="","",VLOOKUP(D1759,Compte!$A$3:$B$346,2,0))</f>
        <v/>
      </c>
    </row>
    <row r="1760" spans="1:9">
      <c r="A1760" s="1206"/>
      <c r="B1760" s="606"/>
      <c r="C1760" s="1046"/>
      <c r="D1760" s="1048"/>
      <c r="E1760" s="1068"/>
      <c r="F1760" s="1044"/>
      <c r="G1760" s="1077">
        <f t="shared" si="27"/>
        <v>0</v>
      </c>
      <c r="H1760" s="1042" t="str">
        <f>IF(C1760="","",VLOOKUP(C1760,Compte!$A$3:$B$346,2,0))</f>
        <v/>
      </c>
      <c r="I1760" s="1043" t="str">
        <f>IF(D1760="","",VLOOKUP(D1760,Compte!$A$3:$B$346,2,0))</f>
        <v/>
      </c>
    </row>
    <row r="1761" spans="1:9">
      <c r="A1761" s="1206"/>
      <c r="B1761" s="606"/>
      <c r="C1761" s="1046"/>
      <c r="D1761" s="1048"/>
      <c r="E1761" s="1068"/>
      <c r="F1761" s="1044"/>
      <c r="G1761" s="1077">
        <f t="shared" si="27"/>
        <v>0</v>
      </c>
      <c r="H1761" s="1042" t="str">
        <f>IF(C1761="","",VLOOKUP(C1761,Compte!$A$3:$B$346,2,0))</f>
        <v/>
      </c>
      <c r="I1761" s="1043" t="str">
        <f>IF(D1761="","",VLOOKUP(D1761,Compte!$A$3:$B$346,2,0))</f>
        <v/>
      </c>
    </row>
    <row r="1762" spans="1:9">
      <c r="A1762" s="1206"/>
      <c r="B1762" s="606"/>
      <c r="C1762" s="1046"/>
      <c r="D1762" s="1048"/>
      <c r="E1762" s="1068"/>
      <c r="F1762" s="1044"/>
      <c r="G1762" s="1077">
        <f t="shared" si="27"/>
        <v>0</v>
      </c>
      <c r="H1762" s="1042" t="str">
        <f>IF(C1762="","",VLOOKUP(C1762,Compte!$A$3:$B$346,2,0))</f>
        <v/>
      </c>
      <c r="I1762" s="1043" t="str">
        <f>IF(D1762="","",VLOOKUP(D1762,Compte!$A$3:$B$346,2,0))</f>
        <v/>
      </c>
    </row>
    <row r="1763" spans="1:9">
      <c r="A1763" s="1206"/>
      <c r="B1763" s="606"/>
      <c r="C1763" s="1046"/>
      <c r="D1763" s="1048"/>
      <c r="E1763" s="1068"/>
      <c r="F1763" s="1044"/>
      <c r="G1763" s="1077">
        <f t="shared" si="27"/>
        <v>0</v>
      </c>
      <c r="H1763" s="1042" t="str">
        <f>IF(C1763="","",VLOOKUP(C1763,Compte!$A$3:$B$346,2,0))</f>
        <v/>
      </c>
      <c r="I1763" s="1043" t="str">
        <f>IF(D1763="","",VLOOKUP(D1763,Compte!$A$3:$B$346,2,0))</f>
        <v/>
      </c>
    </row>
    <row r="1764" spans="1:9">
      <c r="A1764" s="1206"/>
      <c r="B1764" s="606"/>
      <c r="C1764" s="1046"/>
      <c r="D1764" s="1048"/>
      <c r="E1764" s="1068"/>
      <c r="F1764" s="1044"/>
      <c r="G1764" s="1077">
        <f t="shared" si="27"/>
        <v>0</v>
      </c>
      <c r="H1764" s="1042" t="str">
        <f>IF(C1764="","",VLOOKUP(C1764,Compte!$A$3:$B$346,2,0))</f>
        <v/>
      </c>
      <c r="I1764" s="1043" t="str">
        <f>IF(D1764="","",VLOOKUP(D1764,Compte!$A$3:$B$346,2,0))</f>
        <v/>
      </c>
    </row>
    <row r="1765" spans="1:9">
      <c r="A1765" s="1206"/>
      <c r="B1765" s="606"/>
      <c r="C1765" s="1046"/>
      <c r="D1765" s="1048"/>
      <c r="E1765" s="1068"/>
      <c r="F1765" s="1044"/>
      <c r="G1765" s="1077">
        <f t="shared" si="27"/>
        <v>0</v>
      </c>
      <c r="H1765" s="1042" t="str">
        <f>IF(C1765="","",VLOOKUP(C1765,Compte!$A$3:$B$346,2,0))</f>
        <v/>
      </c>
      <c r="I1765" s="1043" t="str">
        <f>IF(D1765="","",VLOOKUP(D1765,Compte!$A$3:$B$346,2,0))</f>
        <v/>
      </c>
    </row>
    <row r="1766" spans="1:9">
      <c r="A1766" s="1206"/>
      <c r="B1766" s="606"/>
      <c r="C1766" s="1046"/>
      <c r="D1766" s="1048"/>
      <c r="E1766" s="1068"/>
      <c r="F1766" s="1044"/>
      <c r="G1766" s="1077">
        <f t="shared" si="27"/>
        <v>0</v>
      </c>
      <c r="H1766" s="1042" t="str">
        <f>IF(C1766="","",VLOOKUP(C1766,Compte!$A$3:$B$346,2,0))</f>
        <v/>
      </c>
      <c r="I1766" s="1043" t="str">
        <f>IF(D1766="","",VLOOKUP(D1766,Compte!$A$3:$B$346,2,0))</f>
        <v/>
      </c>
    </row>
    <row r="1767" spans="1:9">
      <c r="A1767" s="1206"/>
      <c r="B1767" s="606"/>
      <c r="C1767" s="1046"/>
      <c r="D1767" s="1048"/>
      <c r="E1767" s="1068"/>
      <c r="F1767" s="1044"/>
      <c r="G1767" s="1077">
        <f t="shared" si="27"/>
        <v>0</v>
      </c>
      <c r="H1767" s="1042" t="str">
        <f>IF(C1767="","",VLOOKUP(C1767,Compte!$A$3:$B$346,2,0))</f>
        <v/>
      </c>
      <c r="I1767" s="1043" t="str">
        <f>IF(D1767="","",VLOOKUP(D1767,Compte!$A$3:$B$346,2,0))</f>
        <v/>
      </c>
    </row>
    <row r="1768" spans="1:9">
      <c r="A1768" s="1206"/>
      <c r="B1768" s="606"/>
      <c r="C1768" s="1046"/>
      <c r="D1768" s="1048"/>
      <c r="E1768" s="1068"/>
      <c r="F1768" s="1044"/>
      <c r="G1768" s="1077">
        <f t="shared" si="27"/>
        <v>0</v>
      </c>
      <c r="H1768" s="1042" t="str">
        <f>IF(C1768="","",VLOOKUP(C1768,Compte!$A$3:$B$346,2,0))</f>
        <v/>
      </c>
      <c r="I1768" s="1043" t="str">
        <f>IF(D1768="","",VLOOKUP(D1768,Compte!$A$3:$B$346,2,0))</f>
        <v/>
      </c>
    </row>
    <row r="1769" spans="1:9">
      <c r="A1769" s="1206"/>
      <c r="B1769" s="606"/>
      <c r="C1769" s="1046"/>
      <c r="D1769" s="1048"/>
      <c r="E1769" s="1068"/>
      <c r="F1769" s="1044"/>
      <c r="G1769" s="1077">
        <f t="shared" si="27"/>
        <v>0</v>
      </c>
      <c r="H1769" s="1042" t="str">
        <f>IF(C1769="","",VLOOKUP(C1769,Compte!$A$3:$B$346,2,0))</f>
        <v/>
      </c>
      <c r="I1769" s="1043" t="str">
        <f>IF(D1769="","",VLOOKUP(D1769,Compte!$A$3:$B$346,2,0))</f>
        <v/>
      </c>
    </row>
    <row r="1770" spans="1:9">
      <c r="A1770" s="1206"/>
      <c r="B1770" s="606"/>
      <c r="C1770" s="1046"/>
      <c r="D1770" s="1048"/>
      <c r="E1770" s="1068"/>
      <c r="F1770" s="1044"/>
      <c r="G1770" s="1077">
        <f t="shared" si="27"/>
        <v>0</v>
      </c>
      <c r="H1770" s="1042" t="str">
        <f>IF(C1770="","",VLOOKUP(C1770,Compte!$A$3:$B$346,2,0))</f>
        <v/>
      </c>
      <c r="I1770" s="1043" t="str">
        <f>IF(D1770="","",VLOOKUP(D1770,Compte!$A$3:$B$346,2,0))</f>
        <v/>
      </c>
    </row>
    <row r="1771" spans="1:9">
      <c r="A1771" s="1206"/>
      <c r="B1771" s="606"/>
      <c r="C1771" s="1046"/>
      <c r="D1771" s="1048"/>
      <c r="E1771" s="1068"/>
      <c r="F1771" s="1044"/>
      <c r="G1771" s="1077">
        <f t="shared" si="27"/>
        <v>0</v>
      </c>
      <c r="H1771" s="1042" t="str">
        <f>IF(C1771="","",VLOOKUP(C1771,Compte!$A$3:$B$346,2,0))</f>
        <v/>
      </c>
      <c r="I1771" s="1043" t="str">
        <f>IF(D1771="","",VLOOKUP(D1771,Compte!$A$3:$B$346,2,0))</f>
        <v/>
      </c>
    </row>
    <row r="1772" spans="1:9">
      <c r="A1772" s="1206"/>
      <c r="B1772" s="606"/>
      <c r="C1772" s="1046"/>
      <c r="D1772" s="1048"/>
      <c r="E1772" s="1068"/>
      <c r="F1772" s="1044"/>
      <c r="G1772" s="1077">
        <f t="shared" si="27"/>
        <v>0</v>
      </c>
      <c r="H1772" s="1042" t="str">
        <f>IF(C1772="","",VLOOKUP(C1772,Compte!$A$3:$B$346,2,0))</f>
        <v/>
      </c>
      <c r="I1772" s="1043" t="str">
        <f>IF(D1772="","",VLOOKUP(D1772,Compte!$A$3:$B$346,2,0))</f>
        <v/>
      </c>
    </row>
    <row r="1773" spans="1:9">
      <c r="A1773" s="1206"/>
      <c r="B1773" s="606"/>
      <c r="C1773" s="1046"/>
      <c r="D1773" s="1048"/>
      <c r="E1773" s="1068"/>
      <c r="F1773" s="1044"/>
      <c r="G1773" s="1077">
        <f t="shared" si="27"/>
        <v>0</v>
      </c>
      <c r="H1773" s="1042" t="str">
        <f>IF(C1773="","",VLOOKUP(C1773,Compte!$A$3:$B$346,2,0))</f>
        <v/>
      </c>
      <c r="I1773" s="1043" t="str">
        <f>IF(D1773="","",VLOOKUP(D1773,Compte!$A$3:$B$346,2,0))</f>
        <v/>
      </c>
    </row>
    <row r="1774" spans="1:9">
      <c r="A1774" s="1206"/>
      <c r="B1774" s="606"/>
      <c r="C1774" s="1046"/>
      <c r="D1774" s="1048"/>
      <c r="E1774" s="1068"/>
      <c r="F1774" s="1044"/>
      <c r="G1774" s="1077">
        <f t="shared" si="27"/>
        <v>0</v>
      </c>
      <c r="H1774" s="1042" t="str">
        <f>IF(C1774="","",VLOOKUP(C1774,Compte!$A$3:$B$346,2,0))</f>
        <v/>
      </c>
      <c r="I1774" s="1043" t="str">
        <f>IF(D1774="","",VLOOKUP(D1774,Compte!$A$3:$B$346,2,0))</f>
        <v/>
      </c>
    </row>
    <row r="1775" spans="1:9">
      <c r="A1775" s="1206"/>
      <c r="B1775" s="606"/>
      <c r="C1775" s="1046"/>
      <c r="D1775" s="1048"/>
      <c r="E1775" s="1068"/>
      <c r="F1775" s="1044"/>
      <c r="G1775" s="1077">
        <f t="shared" si="27"/>
        <v>0</v>
      </c>
      <c r="H1775" s="1042" t="str">
        <f>IF(C1775="","",VLOOKUP(C1775,Compte!$A$3:$B$346,2,0))</f>
        <v/>
      </c>
      <c r="I1775" s="1043" t="str">
        <f>IF(D1775="","",VLOOKUP(D1775,Compte!$A$3:$B$346,2,0))</f>
        <v/>
      </c>
    </row>
    <row r="1776" spans="1:9">
      <c r="A1776" s="1206"/>
      <c r="B1776" s="606"/>
      <c r="C1776" s="1046"/>
      <c r="D1776" s="1048"/>
      <c r="E1776" s="1068"/>
      <c r="F1776" s="1044"/>
      <c r="G1776" s="1077">
        <f t="shared" si="27"/>
        <v>0</v>
      </c>
      <c r="H1776" s="1042" t="str">
        <f>IF(C1776="","",VLOOKUP(C1776,Compte!$A$3:$B$346,2,0))</f>
        <v/>
      </c>
      <c r="I1776" s="1043" t="str">
        <f>IF(D1776="","",VLOOKUP(D1776,Compte!$A$3:$B$346,2,0))</f>
        <v/>
      </c>
    </row>
    <row r="1777" spans="1:9">
      <c r="A1777" s="1206"/>
      <c r="B1777" s="606"/>
      <c r="C1777" s="1046"/>
      <c r="D1777" s="1048"/>
      <c r="E1777" s="1068"/>
      <c r="F1777" s="1044"/>
      <c r="G1777" s="1077">
        <f t="shared" si="27"/>
        <v>0</v>
      </c>
      <c r="H1777" s="1042" t="str">
        <f>IF(C1777="","",VLOOKUP(C1777,Compte!$A$3:$B$346,2,0))</f>
        <v/>
      </c>
      <c r="I1777" s="1043" t="str">
        <f>IF(D1777="","",VLOOKUP(D1777,Compte!$A$3:$B$346,2,0))</f>
        <v/>
      </c>
    </row>
    <row r="1778" spans="1:9">
      <c r="A1778" s="1206"/>
      <c r="B1778" s="606"/>
      <c r="C1778" s="1046"/>
      <c r="D1778" s="1048"/>
      <c r="E1778" s="1068"/>
      <c r="F1778" s="1044"/>
      <c r="G1778" s="1077">
        <f t="shared" si="27"/>
        <v>0</v>
      </c>
      <c r="H1778" s="1042" t="str">
        <f>IF(C1778="","",VLOOKUP(C1778,Compte!$A$3:$B$346,2,0))</f>
        <v/>
      </c>
      <c r="I1778" s="1043" t="str">
        <f>IF(D1778="","",VLOOKUP(D1778,Compte!$A$3:$B$346,2,0))</f>
        <v/>
      </c>
    </row>
    <row r="1779" spans="1:9">
      <c r="A1779" s="1206"/>
      <c r="B1779" s="606"/>
      <c r="C1779" s="1046"/>
      <c r="D1779" s="1048"/>
      <c r="E1779" s="1068"/>
      <c r="F1779" s="1044"/>
      <c r="G1779" s="1077">
        <f t="shared" si="27"/>
        <v>0</v>
      </c>
      <c r="H1779" s="1042" t="str">
        <f>IF(C1779="","",VLOOKUP(C1779,Compte!$A$3:$B$346,2,0))</f>
        <v/>
      </c>
      <c r="I1779" s="1043" t="str">
        <f>IF(D1779="","",VLOOKUP(D1779,Compte!$A$3:$B$346,2,0))</f>
        <v/>
      </c>
    </row>
    <row r="1780" spans="1:9">
      <c r="A1780" s="1206"/>
      <c r="B1780" s="606"/>
      <c r="C1780" s="1046"/>
      <c r="D1780" s="1048"/>
      <c r="E1780" s="1068"/>
      <c r="F1780" s="1044"/>
      <c r="G1780" s="1077">
        <f t="shared" si="27"/>
        <v>0</v>
      </c>
      <c r="H1780" s="1042" t="str">
        <f>IF(C1780="","",VLOOKUP(C1780,Compte!$A$3:$B$346,2,0))</f>
        <v/>
      </c>
      <c r="I1780" s="1043" t="str">
        <f>IF(D1780="","",VLOOKUP(D1780,Compte!$A$3:$B$346,2,0))</f>
        <v/>
      </c>
    </row>
    <row r="1781" spans="1:9">
      <c r="A1781" s="1206"/>
      <c r="B1781" s="606"/>
      <c r="C1781" s="1046"/>
      <c r="D1781" s="1048"/>
      <c r="E1781" s="1068"/>
      <c r="F1781" s="1044"/>
      <c r="G1781" s="1077">
        <f t="shared" si="27"/>
        <v>0</v>
      </c>
      <c r="H1781" s="1042" t="str">
        <f>IF(C1781="","",VLOOKUP(C1781,Compte!$A$3:$B$346,2,0))</f>
        <v/>
      </c>
      <c r="I1781" s="1043" t="str">
        <f>IF(D1781="","",VLOOKUP(D1781,Compte!$A$3:$B$346,2,0))</f>
        <v/>
      </c>
    </row>
    <row r="1782" spans="1:9">
      <c r="A1782" s="1206"/>
      <c r="B1782" s="606"/>
      <c r="C1782" s="1046"/>
      <c r="D1782" s="1048"/>
      <c r="E1782" s="1068"/>
      <c r="F1782" s="1044"/>
      <c r="G1782" s="1077">
        <f t="shared" si="27"/>
        <v>0</v>
      </c>
      <c r="H1782" s="1042" t="str">
        <f>IF(C1782="","",VLOOKUP(C1782,Compte!$A$3:$B$346,2,0))</f>
        <v/>
      </c>
      <c r="I1782" s="1043" t="str">
        <f>IF(D1782="","",VLOOKUP(D1782,Compte!$A$3:$B$346,2,0))</f>
        <v/>
      </c>
    </row>
    <row r="1783" spans="1:9">
      <c r="A1783" s="1206"/>
      <c r="B1783" s="606"/>
      <c r="C1783" s="1046"/>
      <c r="D1783" s="1048"/>
      <c r="E1783" s="1068"/>
      <c r="F1783" s="1044"/>
      <c r="G1783" s="1077">
        <f t="shared" si="27"/>
        <v>0</v>
      </c>
      <c r="H1783" s="1042" t="str">
        <f>IF(C1783="","",VLOOKUP(C1783,Compte!$A$3:$B$346,2,0))</f>
        <v/>
      </c>
      <c r="I1783" s="1043" t="str">
        <f>IF(D1783="","",VLOOKUP(D1783,Compte!$A$3:$B$346,2,0))</f>
        <v/>
      </c>
    </row>
    <row r="1784" spans="1:9">
      <c r="A1784" s="1206"/>
      <c r="B1784" s="606"/>
      <c r="C1784" s="1046"/>
      <c r="D1784" s="1048"/>
      <c r="E1784" s="1068"/>
      <c r="F1784" s="1044"/>
      <c r="G1784" s="1077">
        <f t="shared" si="27"/>
        <v>0</v>
      </c>
      <c r="H1784" s="1042" t="str">
        <f>IF(C1784="","",VLOOKUP(C1784,Compte!$A$3:$B$346,2,0))</f>
        <v/>
      </c>
      <c r="I1784" s="1043" t="str">
        <f>IF(D1784="","",VLOOKUP(D1784,Compte!$A$3:$B$346,2,0))</f>
        <v/>
      </c>
    </row>
    <row r="1785" spans="1:9">
      <c r="A1785" s="1206"/>
      <c r="B1785" s="606"/>
      <c r="C1785" s="1046"/>
      <c r="D1785" s="1048"/>
      <c r="E1785" s="1068"/>
      <c r="F1785" s="1044"/>
      <c r="G1785" s="1077">
        <f t="shared" si="27"/>
        <v>0</v>
      </c>
      <c r="H1785" s="1042" t="str">
        <f>IF(C1785="","",VLOOKUP(C1785,Compte!$A$3:$B$346,2,0))</f>
        <v/>
      </c>
      <c r="I1785" s="1043" t="str">
        <f>IF(D1785="","",VLOOKUP(D1785,Compte!$A$3:$B$346,2,0))</f>
        <v/>
      </c>
    </row>
    <row r="1786" spans="1:9">
      <c r="A1786" s="1206"/>
      <c r="B1786" s="606"/>
      <c r="C1786" s="1046"/>
      <c r="D1786" s="1048"/>
      <c r="E1786" s="1068"/>
      <c r="F1786" s="1044"/>
      <c r="G1786" s="1077">
        <f t="shared" si="27"/>
        <v>0</v>
      </c>
      <c r="H1786" s="1042" t="str">
        <f>IF(C1786="","",VLOOKUP(C1786,Compte!$A$3:$B$346,2,0))</f>
        <v/>
      </c>
      <c r="I1786" s="1043" t="str">
        <f>IF(D1786="","",VLOOKUP(D1786,Compte!$A$3:$B$346,2,0))</f>
        <v/>
      </c>
    </row>
    <row r="1787" spans="1:9">
      <c r="A1787" s="1206"/>
      <c r="B1787" s="606"/>
      <c r="C1787" s="1046"/>
      <c r="D1787" s="1048"/>
      <c r="E1787" s="1068"/>
      <c r="F1787" s="1044"/>
      <c r="G1787" s="1077">
        <f t="shared" si="27"/>
        <v>0</v>
      </c>
      <c r="H1787" s="1042" t="str">
        <f>IF(C1787="","",VLOOKUP(C1787,Compte!$A$3:$B$346,2,0))</f>
        <v/>
      </c>
      <c r="I1787" s="1043" t="str">
        <f>IF(D1787="","",VLOOKUP(D1787,Compte!$A$3:$B$346,2,0))</f>
        <v/>
      </c>
    </row>
    <row r="1788" spans="1:9">
      <c r="A1788" s="1206"/>
      <c r="B1788" s="606"/>
      <c r="C1788" s="1046"/>
      <c r="D1788" s="1048"/>
      <c r="E1788" s="1068"/>
      <c r="F1788" s="1044"/>
      <c r="G1788" s="1077">
        <f t="shared" si="27"/>
        <v>0</v>
      </c>
      <c r="H1788" s="1042" t="str">
        <f>IF(C1788="","",VLOOKUP(C1788,Compte!$A$3:$B$346,2,0))</f>
        <v/>
      </c>
      <c r="I1788" s="1043" t="str">
        <f>IF(D1788="","",VLOOKUP(D1788,Compte!$A$3:$B$346,2,0))</f>
        <v/>
      </c>
    </row>
    <row r="1789" spans="1:9">
      <c r="A1789" s="1206"/>
      <c r="B1789" s="606"/>
      <c r="C1789" s="1046"/>
      <c r="D1789" s="1048"/>
      <c r="E1789" s="1068"/>
      <c r="F1789" s="1044"/>
      <c r="G1789" s="1077">
        <f t="shared" si="27"/>
        <v>0</v>
      </c>
      <c r="H1789" s="1042" t="str">
        <f>IF(C1789="","",VLOOKUP(C1789,Compte!$A$3:$B$346,2,0))</f>
        <v/>
      </c>
      <c r="I1789" s="1043" t="str">
        <f>IF(D1789="","",VLOOKUP(D1789,Compte!$A$3:$B$346,2,0))</f>
        <v/>
      </c>
    </row>
    <row r="1790" spans="1:9">
      <c r="A1790" s="1206"/>
      <c r="B1790" s="606"/>
      <c r="C1790" s="1046"/>
      <c r="D1790" s="1048"/>
      <c r="E1790" s="1068"/>
      <c r="F1790" s="1044"/>
      <c r="G1790" s="1077">
        <f t="shared" si="27"/>
        <v>0</v>
      </c>
      <c r="H1790" s="1042" t="str">
        <f>IF(C1790="","",VLOOKUP(C1790,Compte!$A$3:$B$346,2,0))</f>
        <v/>
      </c>
      <c r="I1790" s="1043" t="str">
        <f>IF(D1790="","",VLOOKUP(D1790,Compte!$A$3:$B$346,2,0))</f>
        <v/>
      </c>
    </row>
    <row r="1791" spans="1:9">
      <c r="A1791" s="1206"/>
      <c r="B1791" s="606"/>
      <c r="C1791" s="1046"/>
      <c r="D1791" s="1048"/>
      <c r="E1791" s="1068"/>
      <c r="F1791" s="1044"/>
      <c r="G1791" s="1077">
        <f t="shared" si="27"/>
        <v>0</v>
      </c>
      <c r="H1791" s="1042" t="str">
        <f>IF(C1791="","",VLOOKUP(C1791,Compte!$A$3:$B$346,2,0))</f>
        <v/>
      </c>
      <c r="I1791" s="1043" t="str">
        <f>IF(D1791="","",VLOOKUP(D1791,Compte!$A$3:$B$346,2,0))</f>
        <v/>
      </c>
    </row>
    <row r="1792" spans="1:9">
      <c r="A1792" s="1206"/>
      <c r="B1792" s="606"/>
      <c r="C1792" s="1046"/>
      <c r="D1792" s="1048"/>
      <c r="E1792" s="1068"/>
      <c r="F1792" s="1044"/>
      <c r="G1792" s="1077">
        <f t="shared" si="27"/>
        <v>0</v>
      </c>
      <c r="H1792" s="1042" t="str">
        <f>IF(C1792="","",VLOOKUP(C1792,Compte!$A$3:$B$346,2,0))</f>
        <v/>
      </c>
      <c r="I1792" s="1043" t="str">
        <f>IF(D1792="","",VLOOKUP(D1792,Compte!$A$3:$B$346,2,0))</f>
        <v/>
      </c>
    </row>
    <row r="1793" spans="1:9">
      <c r="A1793" s="1206"/>
      <c r="B1793" s="606"/>
      <c r="C1793" s="1046"/>
      <c r="D1793" s="1048"/>
      <c r="E1793" s="1068"/>
      <c r="F1793" s="1044"/>
      <c r="G1793" s="1077">
        <f t="shared" si="27"/>
        <v>0</v>
      </c>
      <c r="H1793" s="1042" t="str">
        <f>IF(C1793="","",VLOOKUP(C1793,Compte!$A$3:$B$346,2,0))</f>
        <v/>
      </c>
      <c r="I1793" s="1043" t="str">
        <f>IF(D1793="","",VLOOKUP(D1793,Compte!$A$3:$B$346,2,0))</f>
        <v/>
      </c>
    </row>
    <row r="1794" spans="1:9">
      <c r="A1794" s="1206"/>
      <c r="B1794" s="606"/>
      <c r="C1794" s="1046"/>
      <c r="D1794" s="1048"/>
      <c r="E1794" s="1068"/>
      <c r="F1794" s="1044"/>
      <c r="G1794" s="1077">
        <f t="shared" si="27"/>
        <v>0</v>
      </c>
      <c r="H1794" s="1042" t="str">
        <f>IF(C1794="","",VLOOKUP(C1794,Compte!$A$3:$B$346,2,0))</f>
        <v/>
      </c>
      <c r="I1794" s="1043" t="str">
        <f>IF(D1794="","",VLOOKUP(D1794,Compte!$A$3:$B$346,2,0))</f>
        <v/>
      </c>
    </row>
    <row r="1795" spans="1:9">
      <c r="A1795" s="1206"/>
      <c r="B1795" s="606"/>
      <c r="C1795" s="1046"/>
      <c r="D1795" s="1048"/>
      <c r="E1795" s="1068"/>
      <c r="F1795" s="1044"/>
      <c r="G1795" s="1077">
        <f t="shared" si="27"/>
        <v>0</v>
      </c>
      <c r="H1795" s="1042" t="str">
        <f>IF(C1795="","",VLOOKUP(C1795,Compte!$A$3:$B$346,2,0))</f>
        <v/>
      </c>
      <c r="I1795" s="1043" t="str">
        <f>IF(D1795="","",VLOOKUP(D1795,Compte!$A$3:$B$346,2,0))</f>
        <v/>
      </c>
    </row>
    <row r="1796" spans="1:9">
      <c r="A1796" s="1206"/>
      <c r="B1796" s="606"/>
      <c r="C1796" s="1046"/>
      <c r="D1796" s="1048"/>
      <c r="E1796" s="1068"/>
      <c r="F1796" s="1044"/>
      <c r="G1796" s="1077">
        <f t="shared" si="27"/>
        <v>0</v>
      </c>
      <c r="H1796" s="1042" t="str">
        <f>IF(C1796="","",VLOOKUP(C1796,Compte!$A$3:$B$346,2,0))</f>
        <v/>
      </c>
      <c r="I1796" s="1043" t="str">
        <f>IF(D1796="","",VLOOKUP(D1796,Compte!$A$3:$B$346,2,0))</f>
        <v/>
      </c>
    </row>
    <row r="1797" spans="1:9">
      <c r="A1797" s="1206"/>
      <c r="B1797" s="606"/>
      <c r="C1797" s="1046"/>
      <c r="D1797" s="1048"/>
      <c r="E1797" s="1068"/>
      <c r="F1797" s="1044"/>
      <c r="G1797" s="1077">
        <f t="shared" si="27"/>
        <v>0</v>
      </c>
      <c r="H1797" s="1042" t="str">
        <f>IF(C1797="","",VLOOKUP(C1797,Compte!$A$3:$B$346,2,0))</f>
        <v/>
      </c>
      <c r="I1797" s="1043" t="str">
        <f>IF(D1797="","",VLOOKUP(D1797,Compte!$A$3:$B$346,2,0))</f>
        <v/>
      </c>
    </row>
    <row r="1798" spans="1:9">
      <c r="A1798" s="1206"/>
      <c r="B1798" s="606"/>
      <c r="C1798" s="1046"/>
      <c r="D1798" s="1048"/>
      <c r="E1798" s="1068"/>
      <c r="F1798" s="1044"/>
      <c r="G1798" s="1077">
        <f t="shared" si="27"/>
        <v>0</v>
      </c>
      <c r="H1798" s="1042" t="str">
        <f>IF(C1798="","",VLOOKUP(C1798,Compte!$A$3:$B$346,2,0))</f>
        <v/>
      </c>
      <c r="I1798" s="1043" t="str">
        <f>IF(D1798="","",VLOOKUP(D1798,Compte!$A$3:$B$346,2,0))</f>
        <v/>
      </c>
    </row>
    <row r="1799" spans="1:9">
      <c r="A1799" s="1206"/>
      <c r="B1799" s="606"/>
      <c r="C1799" s="1046"/>
      <c r="D1799" s="1048"/>
      <c r="E1799" s="1068"/>
      <c r="F1799" s="1044"/>
      <c r="G1799" s="1077">
        <f t="shared" si="27"/>
        <v>0</v>
      </c>
      <c r="H1799" s="1042" t="str">
        <f>IF(C1799="","",VLOOKUP(C1799,Compte!$A$3:$B$346,2,0))</f>
        <v/>
      </c>
      <c r="I1799" s="1043" t="str">
        <f>IF(D1799="","",VLOOKUP(D1799,Compte!$A$3:$B$346,2,0))</f>
        <v/>
      </c>
    </row>
    <row r="1800" spans="1:9">
      <c r="A1800" s="1206"/>
      <c r="B1800" s="606"/>
      <c r="C1800" s="1046"/>
      <c r="D1800" s="1048"/>
      <c r="E1800" s="1068"/>
      <c r="F1800" s="1044"/>
      <c r="G1800" s="1077">
        <f t="shared" ref="G1800:G1863" si="28">IF(C1800="",F1800,E1800)</f>
        <v>0</v>
      </c>
      <c r="H1800" s="1042" t="str">
        <f>IF(C1800="","",VLOOKUP(C1800,Compte!$A$3:$B$346,2,0))</f>
        <v/>
      </c>
      <c r="I1800" s="1043" t="str">
        <f>IF(D1800="","",VLOOKUP(D1800,Compte!$A$3:$B$346,2,0))</f>
        <v/>
      </c>
    </row>
    <row r="1801" spans="1:9">
      <c r="A1801" s="1206"/>
      <c r="B1801" s="606"/>
      <c r="C1801" s="1046"/>
      <c r="D1801" s="1048"/>
      <c r="E1801" s="1068"/>
      <c r="F1801" s="1044"/>
      <c r="G1801" s="1077">
        <f t="shared" si="28"/>
        <v>0</v>
      </c>
      <c r="H1801" s="1042" t="str">
        <f>IF(C1801="","",VLOOKUP(C1801,Compte!$A$3:$B$346,2,0))</f>
        <v/>
      </c>
      <c r="I1801" s="1043" t="str">
        <f>IF(D1801="","",VLOOKUP(D1801,Compte!$A$3:$B$346,2,0))</f>
        <v/>
      </c>
    </row>
    <row r="1802" spans="1:9">
      <c r="A1802" s="1206"/>
      <c r="B1802" s="606"/>
      <c r="C1802" s="1046"/>
      <c r="D1802" s="1048"/>
      <c r="E1802" s="1068"/>
      <c r="F1802" s="1044"/>
      <c r="G1802" s="1077">
        <f t="shared" si="28"/>
        <v>0</v>
      </c>
      <c r="H1802" s="1042" t="str">
        <f>IF(C1802="","",VLOOKUP(C1802,Compte!$A$3:$B$346,2,0))</f>
        <v/>
      </c>
      <c r="I1802" s="1043" t="str">
        <f>IF(D1802="","",VLOOKUP(D1802,Compte!$A$3:$B$346,2,0))</f>
        <v/>
      </c>
    </row>
    <row r="1803" spans="1:9">
      <c r="A1803" s="1206"/>
      <c r="B1803" s="606"/>
      <c r="C1803" s="1046"/>
      <c r="D1803" s="1048"/>
      <c r="E1803" s="1068"/>
      <c r="F1803" s="1044"/>
      <c r="G1803" s="1077">
        <f t="shared" si="28"/>
        <v>0</v>
      </c>
      <c r="H1803" s="1042" t="str">
        <f>IF(C1803="","",VLOOKUP(C1803,Compte!$A$3:$B$346,2,0))</f>
        <v/>
      </c>
      <c r="I1803" s="1043" t="str">
        <f>IF(D1803="","",VLOOKUP(D1803,Compte!$A$3:$B$346,2,0))</f>
        <v/>
      </c>
    </row>
    <row r="1804" spans="1:9">
      <c r="A1804" s="1206"/>
      <c r="B1804" s="606"/>
      <c r="C1804" s="1046"/>
      <c r="D1804" s="1048"/>
      <c r="E1804" s="1068"/>
      <c r="F1804" s="1044"/>
      <c r="G1804" s="1077">
        <f t="shared" si="28"/>
        <v>0</v>
      </c>
      <c r="H1804" s="1042" t="str">
        <f>IF(C1804="","",VLOOKUP(C1804,Compte!$A$3:$B$346,2,0))</f>
        <v/>
      </c>
      <c r="I1804" s="1043" t="str">
        <f>IF(D1804="","",VLOOKUP(D1804,Compte!$A$3:$B$346,2,0))</f>
        <v/>
      </c>
    </row>
    <row r="1805" spans="1:9">
      <c r="A1805" s="1206"/>
      <c r="B1805" s="606"/>
      <c r="C1805" s="1046"/>
      <c r="D1805" s="1048"/>
      <c r="E1805" s="1068"/>
      <c r="F1805" s="1044"/>
      <c r="G1805" s="1077">
        <f t="shared" si="28"/>
        <v>0</v>
      </c>
      <c r="H1805" s="1042" t="str">
        <f>IF(C1805="","",VLOOKUP(C1805,Compte!$A$3:$B$346,2,0))</f>
        <v/>
      </c>
      <c r="I1805" s="1043" t="str">
        <f>IF(D1805="","",VLOOKUP(D1805,Compte!$A$3:$B$346,2,0))</f>
        <v/>
      </c>
    </row>
    <row r="1806" spans="1:9">
      <c r="A1806" s="1206"/>
      <c r="B1806" s="606"/>
      <c r="C1806" s="1046"/>
      <c r="D1806" s="1048"/>
      <c r="E1806" s="1068"/>
      <c r="F1806" s="1044"/>
      <c r="G1806" s="1077">
        <f t="shared" si="28"/>
        <v>0</v>
      </c>
      <c r="H1806" s="1042" t="str">
        <f>IF(C1806="","",VLOOKUP(C1806,Compte!$A$3:$B$346,2,0))</f>
        <v/>
      </c>
      <c r="I1806" s="1043" t="str">
        <f>IF(D1806="","",VLOOKUP(D1806,Compte!$A$3:$B$346,2,0))</f>
        <v/>
      </c>
    </row>
    <row r="1807" spans="1:9">
      <c r="A1807" s="1206"/>
      <c r="B1807" s="606"/>
      <c r="C1807" s="1046"/>
      <c r="D1807" s="1048"/>
      <c r="E1807" s="1068"/>
      <c r="F1807" s="1044"/>
      <c r="G1807" s="1077">
        <f t="shared" si="28"/>
        <v>0</v>
      </c>
      <c r="H1807" s="1042" t="str">
        <f>IF(C1807="","",VLOOKUP(C1807,Compte!$A$3:$B$346,2,0))</f>
        <v/>
      </c>
      <c r="I1807" s="1043" t="str">
        <f>IF(D1807="","",VLOOKUP(D1807,Compte!$A$3:$B$346,2,0))</f>
        <v/>
      </c>
    </row>
    <row r="1808" spans="1:9">
      <c r="A1808" s="1206"/>
      <c r="B1808" s="606"/>
      <c r="C1808" s="1046"/>
      <c r="D1808" s="1048"/>
      <c r="E1808" s="1068"/>
      <c r="F1808" s="1044"/>
      <c r="G1808" s="1077">
        <f t="shared" si="28"/>
        <v>0</v>
      </c>
      <c r="H1808" s="1042" t="str">
        <f>IF(C1808="","",VLOOKUP(C1808,Compte!$A$3:$B$346,2,0))</f>
        <v/>
      </c>
      <c r="I1808" s="1043" t="str">
        <f>IF(D1808="","",VLOOKUP(D1808,Compte!$A$3:$B$346,2,0))</f>
        <v/>
      </c>
    </row>
    <row r="1809" spans="1:9">
      <c r="A1809" s="1206"/>
      <c r="B1809" s="606"/>
      <c r="C1809" s="1046"/>
      <c r="D1809" s="1048"/>
      <c r="E1809" s="1068"/>
      <c r="F1809" s="1044"/>
      <c r="G1809" s="1077">
        <f t="shared" si="28"/>
        <v>0</v>
      </c>
      <c r="H1809" s="1042" t="str">
        <f>IF(C1809="","",VLOOKUP(C1809,Compte!$A$3:$B$346,2,0))</f>
        <v/>
      </c>
      <c r="I1809" s="1043" t="str">
        <f>IF(D1809="","",VLOOKUP(D1809,Compte!$A$3:$B$346,2,0))</f>
        <v/>
      </c>
    </row>
    <row r="1810" spans="1:9">
      <c r="A1810" s="1206"/>
      <c r="B1810" s="606"/>
      <c r="C1810" s="1046"/>
      <c r="D1810" s="1048"/>
      <c r="E1810" s="1068"/>
      <c r="F1810" s="1044"/>
      <c r="G1810" s="1077">
        <f t="shared" si="28"/>
        <v>0</v>
      </c>
      <c r="H1810" s="1042" t="str">
        <f>IF(C1810="","",VLOOKUP(C1810,Compte!$A$3:$B$346,2,0))</f>
        <v/>
      </c>
      <c r="I1810" s="1043" t="str">
        <f>IF(D1810="","",VLOOKUP(D1810,Compte!$A$3:$B$346,2,0))</f>
        <v/>
      </c>
    </row>
    <row r="1811" spans="1:9">
      <c r="A1811" s="1206"/>
      <c r="B1811" s="606"/>
      <c r="C1811" s="1046"/>
      <c r="D1811" s="1048"/>
      <c r="E1811" s="1068"/>
      <c r="F1811" s="1044"/>
      <c r="G1811" s="1077">
        <f t="shared" si="28"/>
        <v>0</v>
      </c>
      <c r="H1811" s="1042" t="str">
        <f>IF(C1811="","",VLOOKUP(C1811,Compte!$A$3:$B$346,2,0))</f>
        <v/>
      </c>
      <c r="I1811" s="1043" t="str">
        <f>IF(D1811="","",VLOOKUP(D1811,Compte!$A$3:$B$346,2,0))</f>
        <v/>
      </c>
    </row>
    <row r="1812" spans="1:9">
      <c r="A1812" s="1206"/>
      <c r="B1812" s="606"/>
      <c r="C1812" s="1046"/>
      <c r="D1812" s="1048"/>
      <c r="E1812" s="1068"/>
      <c r="F1812" s="1044"/>
      <c r="G1812" s="1077">
        <f t="shared" si="28"/>
        <v>0</v>
      </c>
      <c r="H1812" s="1042" t="str">
        <f>IF(C1812="","",VLOOKUP(C1812,Compte!$A$3:$B$346,2,0))</f>
        <v/>
      </c>
      <c r="I1812" s="1043" t="str">
        <f>IF(D1812="","",VLOOKUP(D1812,Compte!$A$3:$B$346,2,0))</f>
        <v/>
      </c>
    </row>
    <row r="1813" spans="1:9">
      <c r="A1813" s="1206"/>
      <c r="B1813" s="606"/>
      <c r="C1813" s="1046"/>
      <c r="D1813" s="1048"/>
      <c r="E1813" s="1068"/>
      <c r="F1813" s="1044"/>
      <c r="G1813" s="1077">
        <f t="shared" si="28"/>
        <v>0</v>
      </c>
      <c r="H1813" s="1042" t="str">
        <f>IF(C1813="","",VLOOKUP(C1813,Compte!$A$3:$B$346,2,0))</f>
        <v/>
      </c>
      <c r="I1813" s="1043" t="str">
        <f>IF(D1813="","",VLOOKUP(D1813,Compte!$A$3:$B$346,2,0))</f>
        <v/>
      </c>
    </row>
    <row r="1814" spans="1:9">
      <c r="A1814" s="1206"/>
      <c r="B1814" s="606"/>
      <c r="C1814" s="1046"/>
      <c r="D1814" s="1048"/>
      <c r="E1814" s="1068"/>
      <c r="F1814" s="1044"/>
      <c r="G1814" s="1077">
        <f t="shared" si="28"/>
        <v>0</v>
      </c>
      <c r="H1814" s="1042" t="str">
        <f>IF(C1814="","",VLOOKUP(C1814,Compte!$A$3:$B$346,2,0))</f>
        <v/>
      </c>
      <c r="I1814" s="1043" t="str">
        <f>IF(D1814="","",VLOOKUP(D1814,Compte!$A$3:$B$346,2,0))</f>
        <v/>
      </c>
    </row>
    <row r="1815" spans="1:9">
      <c r="A1815" s="1206"/>
      <c r="B1815" s="606"/>
      <c r="C1815" s="1046"/>
      <c r="D1815" s="1048"/>
      <c r="E1815" s="1068"/>
      <c r="F1815" s="1044"/>
      <c r="G1815" s="1077">
        <f t="shared" si="28"/>
        <v>0</v>
      </c>
      <c r="H1815" s="1042" t="str">
        <f>IF(C1815="","",VLOOKUP(C1815,Compte!$A$3:$B$346,2,0))</f>
        <v/>
      </c>
      <c r="I1815" s="1043" t="str">
        <f>IF(D1815="","",VLOOKUP(D1815,Compte!$A$3:$B$346,2,0))</f>
        <v/>
      </c>
    </row>
    <row r="1816" spans="1:9">
      <c r="A1816" s="1206"/>
      <c r="B1816" s="606"/>
      <c r="C1816" s="1046"/>
      <c r="D1816" s="1048"/>
      <c r="E1816" s="1068"/>
      <c r="F1816" s="1044"/>
      <c r="G1816" s="1077">
        <f t="shared" si="28"/>
        <v>0</v>
      </c>
      <c r="H1816" s="1042" t="str">
        <f>IF(C1816="","",VLOOKUP(C1816,Compte!$A$3:$B$346,2,0))</f>
        <v/>
      </c>
      <c r="I1816" s="1043" t="str">
        <f>IF(D1816="","",VLOOKUP(D1816,Compte!$A$3:$B$346,2,0))</f>
        <v/>
      </c>
    </row>
    <row r="1817" spans="1:9">
      <c r="A1817" s="1206"/>
      <c r="B1817" s="606"/>
      <c r="C1817" s="1046"/>
      <c r="D1817" s="1048"/>
      <c r="E1817" s="1068"/>
      <c r="F1817" s="1044"/>
      <c r="G1817" s="1077">
        <f t="shared" si="28"/>
        <v>0</v>
      </c>
      <c r="H1817" s="1042" t="str">
        <f>IF(C1817="","",VLOOKUP(C1817,Compte!$A$3:$B$346,2,0))</f>
        <v/>
      </c>
      <c r="I1817" s="1043" t="str">
        <f>IF(D1817="","",VLOOKUP(D1817,Compte!$A$3:$B$346,2,0))</f>
        <v/>
      </c>
    </row>
    <row r="1818" spans="1:9">
      <c r="A1818" s="1206"/>
      <c r="B1818" s="606"/>
      <c r="C1818" s="1046"/>
      <c r="D1818" s="1048"/>
      <c r="E1818" s="1068"/>
      <c r="F1818" s="1044"/>
      <c r="G1818" s="1077">
        <f t="shared" si="28"/>
        <v>0</v>
      </c>
      <c r="H1818" s="1042" t="str">
        <f>IF(C1818="","",VLOOKUP(C1818,Compte!$A$3:$B$346,2,0))</f>
        <v/>
      </c>
      <c r="I1818" s="1043" t="str">
        <f>IF(D1818="","",VLOOKUP(D1818,Compte!$A$3:$B$346,2,0))</f>
        <v/>
      </c>
    </row>
    <row r="1819" spans="1:9">
      <c r="A1819" s="1206"/>
      <c r="B1819" s="606"/>
      <c r="C1819" s="1046"/>
      <c r="D1819" s="1048"/>
      <c r="E1819" s="1068"/>
      <c r="F1819" s="1044"/>
      <c r="G1819" s="1077">
        <f t="shared" si="28"/>
        <v>0</v>
      </c>
      <c r="H1819" s="1042" t="str">
        <f>IF(C1819="","",VLOOKUP(C1819,Compte!$A$3:$B$346,2,0))</f>
        <v/>
      </c>
      <c r="I1819" s="1043" t="str">
        <f>IF(D1819="","",VLOOKUP(D1819,Compte!$A$3:$B$346,2,0))</f>
        <v/>
      </c>
    </row>
    <row r="1820" spans="1:9">
      <c r="A1820" s="1206"/>
      <c r="B1820" s="606"/>
      <c r="C1820" s="1046"/>
      <c r="D1820" s="1048"/>
      <c r="E1820" s="1068"/>
      <c r="F1820" s="1044"/>
      <c r="G1820" s="1077">
        <f t="shared" si="28"/>
        <v>0</v>
      </c>
      <c r="H1820" s="1042" t="str">
        <f>IF(C1820="","",VLOOKUP(C1820,Compte!$A$3:$B$346,2,0))</f>
        <v/>
      </c>
      <c r="I1820" s="1043" t="str">
        <f>IF(D1820="","",VLOOKUP(D1820,Compte!$A$3:$B$346,2,0))</f>
        <v/>
      </c>
    </row>
    <row r="1821" spans="1:9">
      <c r="A1821" s="1206"/>
      <c r="B1821" s="606"/>
      <c r="C1821" s="1046"/>
      <c r="D1821" s="1048"/>
      <c r="E1821" s="1068"/>
      <c r="F1821" s="1044"/>
      <c r="G1821" s="1077">
        <f t="shared" si="28"/>
        <v>0</v>
      </c>
      <c r="H1821" s="1042" t="str">
        <f>IF(C1821="","",VLOOKUP(C1821,Compte!$A$3:$B$346,2,0))</f>
        <v/>
      </c>
      <c r="I1821" s="1043" t="str">
        <f>IF(D1821="","",VLOOKUP(D1821,Compte!$A$3:$B$346,2,0))</f>
        <v/>
      </c>
    </row>
    <row r="1822" spans="1:9">
      <c r="A1822" s="1206"/>
      <c r="B1822" s="606"/>
      <c r="C1822" s="1046"/>
      <c r="D1822" s="1048"/>
      <c r="E1822" s="1068"/>
      <c r="F1822" s="1044"/>
      <c r="G1822" s="1077">
        <f t="shared" si="28"/>
        <v>0</v>
      </c>
      <c r="H1822" s="1042" t="str">
        <f>IF(C1822="","",VLOOKUP(C1822,Compte!$A$3:$B$346,2,0))</f>
        <v/>
      </c>
      <c r="I1822" s="1043" t="str">
        <f>IF(D1822="","",VLOOKUP(D1822,Compte!$A$3:$B$346,2,0))</f>
        <v/>
      </c>
    </row>
    <row r="1823" spans="1:9">
      <c r="A1823" s="1206"/>
      <c r="B1823" s="606"/>
      <c r="C1823" s="1046"/>
      <c r="D1823" s="1048"/>
      <c r="E1823" s="1068"/>
      <c r="F1823" s="1044"/>
      <c r="G1823" s="1077">
        <f t="shared" si="28"/>
        <v>0</v>
      </c>
      <c r="H1823" s="1042" t="str">
        <f>IF(C1823="","",VLOOKUP(C1823,Compte!$A$3:$B$346,2,0))</f>
        <v/>
      </c>
      <c r="I1823" s="1043" t="str">
        <f>IF(D1823="","",VLOOKUP(D1823,Compte!$A$3:$B$346,2,0))</f>
        <v/>
      </c>
    </row>
    <row r="1824" spans="1:9">
      <c r="A1824" s="1206"/>
      <c r="B1824" s="606"/>
      <c r="C1824" s="1046"/>
      <c r="D1824" s="1048"/>
      <c r="E1824" s="1068"/>
      <c r="F1824" s="1044"/>
      <c r="G1824" s="1077">
        <f t="shared" si="28"/>
        <v>0</v>
      </c>
      <c r="H1824" s="1042" t="str">
        <f>IF(C1824="","",VLOOKUP(C1824,Compte!$A$3:$B$346,2,0))</f>
        <v/>
      </c>
      <c r="I1824" s="1043" t="str">
        <f>IF(D1824="","",VLOOKUP(D1824,Compte!$A$3:$B$346,2,0))</f>
        <v/>
      </c>
    </row>
    <row r="1825" spans="1:9">
      <c r="A1825" s="1206"/>
      <c r="B1825" s="606"/>
      <c r="C1825" s="1046"/>
      <c r="D1825" s="1048"/>
      <c r="E1825" s="1068"/>
      <c r="F1825" s="1044"/>
      <c r="G1825" s="1077">
        <f t="shared" si="28"/>
        <v>0</v>
      </c>
      <c r="H1825" s="1042" t="str">
        <f>IF(C1825="","",VLOOKUP(C1825,Compte!$A$3:$B$346,2,0))</f>
        <v/>
      </c>
      <c r="I1825" s="1043" t="str">
        <f>IF(D1825="","",VLOOKUP(D1825,Compte!$A$3:$B$346,2,0))</f>
        <v/>
      </c>
    </row>
    <row r="1826" spans="1:9">
      <c r="A1826" s="1206"/>
      <c r="B1826" s="606"/>
      <c r="C1826" s="1046"/>
      <c r="D1826" s="1048"/>
      <c r="E1826" s="1068"/>
      <c r="F1826" s="1044"/>
      <c r="G1826" s="1077">
        <f t="shared" si="28"/>
        <v>0</v>
      </c>
      <c r="H1826" s="1042" t="str">
        <f>IF(C1826="","",VLOOKUP(C1826,Compte!$A$3:$B$346,2,0))</f>
        <v/>
      </c>
      <c r="I1826" s="1043" t="str">
        <f>IF(D1826="","",VLOOKUP(D1826,Compte!$A$3:$B$346,2,0))</f>
        <v/>
      </c>
    </row>
    <row r="1827" spans="1:9">
      <c r="A1827" s="1206"/>
      <c r="B1827" s="606"/>
      <c r="C1827" s="1046"/>
      <c r="D1827" s="1048"/>
      <c r="E1827" s="1068"/>
      <c r="F1827" s="1044"/>
      <c r="G1827" s="1077">
        <f t="shared" si="28"/>
        <v>0</v>
      </c>
      <c r="H1827" s="1042" t="str">
        <f>IF(C1827="","",VLOOKUP(C1827,Compte!$A$3:$B$346,2,0))</f>
        <v/>
      </c>
      <c r="I1827" s="1043" t="str">
        <f>IF(D1827="","",VLOOKUP(D1827,Compte!$A$3:$B$346,2,0))</f>
        <v/>
      </c>
    </row>
    <row r="1828" spans="1:9">
      <c r="A1828" s="1206"/>
      <c r="B1828" s="606"/>
      <c r="C1828" s="1046"/>
      <c r="D1828" s="1048"/>
      <c r="E1828" s="1068"/>
      <c r="F1828" s="1044"/>
      <c r="G1828" s="1077">
        <f t="shared" si="28"/>
        <v>0</v>
      </c>
      <c r="H1828" s="1042" t="str">
        <f>IF(C1828="","",VLOOKUP(C1828,Compte!$A$3:$B$346,2,0))</f>
        <v/>
      </c>
      <c r="I1828" s="1043" t="str">
        <f>IF(D1828="","",VLOOKUP(D1828,Compte!$A$3:$B$346,2,0))</f>
        <v/>
      </c>
    </row>
    <row r="1829" spans="1:9">
      <c r="A1829" s="1206"/>
      <c r="B1829" s="606"/>
      <c r="C1829" s="1046"/>
      <c r="D1829" s="1048"/>
      <c r="E1829" s="1068"/>
      <c r="F1829" s="1044"/>
      <c r="G1829" s="1077">
        <f t="shared" si="28"/>
        <v>0</v>
      </c>
      <c r="H1829" s="1042" t="str">
        <f>IF(C1829="","",VLOOKUP(C1829,Compte!$A$3:$B$346,2,0))</f>
        <v/>
      </c>
      <c r="I1829" s="1043" t="str">
        <f>IF(D1829="","",VLOOKUP(D1829,Compte!$A$3:$B$346,2,0))</f>
        <v/>
      </c>
    </row>
    <row r="1830" spans="1:9">
      <c r="A1830" s="1206"/>
      <c r="B1830" s="606"/>
      <c r="C1830" s="1046"/>
      <c r="D1830" s="1048"/>
      <c r="E1830" s="1068"/>
      <c r="F1830" s="1044"/>
      <c r="G1830" s="1077">
        <f t="shared" si="28"/>
        <v>0</v>
      </c>
      <c r="H1830" s="1042" t="str">
        <f>IF(C1830="","",VLOOKUP(C1830,Compte!$A$3:$B$346,2,0))</f>
        <v/>
      </c>
      <c r="I1830" s="1043" t="str">
        <f>IF(D1830="","",VLOOKUP(D1830,Compte!$A$3:$B$346,2,0))</f>
        <v/>
      </c>
    </row>
    <row r="1831" spans="1:9">
      <c r="A1831" s="1206"/>
      <c r="B1831" s="606"/>
      <c r="C1831" s="1046"/>
      <c r="D1831" s="1048"/>
      <c r="E1831" s="1068"/>
      <c r="F1831" s="1044"/>
      <c r="G1831" s="1077">
        <f t="shared" si="28"/>
        <v>0</v>
      </c>
      <c r="H1831" s="1042" t="str">
        <f>IF(C1831="","",VLOOKUP(C1831,Compte!$A$3:$B$346,2,0))</f>
        <v/>
      </c>
      <c r="I1831" s="1043" t="str">
        <f>IF(D1831="","",VLOOKUP(D1831,Compte!$A$3:$B$346,2,0))</f>
        <v/>
      </c>
    </row>
    <row r="1832" spans="1:9">
      <c r="A1832" s="1206"/>
      <c r="B1832" s="606"/>
      <c r="C1832" s="1046"/>
      <c r="D1832" s="1048"/>
      <c r="E1832" s="1068"/>
      <c r="F1832" s="1044"/>
      <c r="G1832" s="1077">
        <f t="shared" si="28"/>
        <v>0</v>
      </c>
      <c r="H1832" s="1042" t="str">
        <f>IF(C1832="","",VLOOKUP(C1832,Compte!$A$3:$B$346,2,0))</f>
        <v/>
      </c>
      <c r="I1832" s="1043" t="str">
        <f>IF(D1832="","",VLOOKUP(D1832,Compte!$A$3:$B$346,2,0))</f>
        <v/>
      </c>
    </row>
    <row r="1833" spans="1:9">
      <c r="A1833" s="1206"/>
      <c r="B1833" s="606"/>
      <c r="C1833" s="1046"/>
      <c r="D1833" s="1048"/>
      <c r="E1833" s="1068"/>
      <c r="F1833" s="1044"/>
      <c r="G1833" s="1077">
        <f t="shared" si="28"/>
        <v>0</v>
      </c>
      <c r="H1833" s="1042" t="str">
        <f>IF(C1833="","",VLOOKUP(C1833,Compte!$A$3:$B$346,2,0))</f>
        <v/>
      </c>
      <c r="I1833" s="1043" t="str">
        <f>IF(D1833="","",VLOOKUP(D1833,Compte!$A$3:$B$346,2,0))</f>
        <v/>
      </c>
    </row>
    <row r="1834" spans="1:9">
      <c r="A1834" s="1206"/>
      <c r="B1834" s="606"/>
      <c r="C1834" s="1046"/>
      <c r="D1834" s="1048"/>
      <c r="E1834" s="1068"/>
      <c r="F1834" s="1044"/>
      <c r="G1834" s="1077">
        <f t="shared" si="28"/>
        <v>0</v>
      </c>
      <c r="H1834" s="1042" t="str">
        <f>IF(C1834="","",VLOOKUP(C1834,Compte!$A$3:$B$346,2,0))</f>
        <v/>
      </c>
      <c r="I1834" s="1043" t="str">
        <f>IF(D1834="","",VLOOKUP(D1834,Compte!$A$3:$B$346,2,0))</f>
        <v/>
      </c>
    </row>
    <row r="1835" spans="1:9">
      <c r="A1835" s="1206"/>
      <c r="B1835" s="606"/>
      <c r="C1835" s="1046"/>
      <c r="D1835" s="1048"/>
      <c r="E1835" s="1068"/>
      <c r="F1835" s="1044"/>
      <c r="G1835" s="1077">
        <f t="shared" si="28"/>
        <v>0</v>
      </c>
      <c r="H1835" s="1042" t="str">
        <f>IF(C1835="","",VLOOKUP(C1835,Compte!$A$3:$B$346,2,0))</f>
        <v/>
      </c>
      <c r="I1835" s="1043" t="str">
        <f>IF(D1835="","",VLOOKUP(D1835,Compte!$A$3:$B$346,2,0))</f>
        <v/>
      </c>
    </row>
    <row r="1836" spans="1:9">
      <c r="A1836" s="1206"/>
      <c r="B1836" s="606"/>
      <c r="C1836" s="1046"/>
      <c r="D1836" s="1048"/>
      <c r="E1836" s="1068"/>
      <c r="F1836" s="1044"/>
      <c r="G1836" s="1077">
        <f t="shared" si="28"/>
        <v>0</v>
      </c>
      <c r="H1836" s="1042" t="str">
        <f>IF(C1836="","",VLOOKUP(C1836,Compte!$A$3:$B$346,2,0))</f>
        <v/>
      </c>
      <c r="I1836" s="1043" t="str">
        <f>IF(D1836="","",VLOOKUP(D1836,Compte!$A$3:$B$346,2,0))</f>
        <v/>
      </c>
    </row>
    <row r="1837" spans="1:9">
      <c r="A1837" s="1206"/>
      <c r="B1837" s="606"/>
      <c r="C1837" s="1046"/>
      <c r="D1837" s="1048"/>
      <c r="E1837" s="1068"/>
      <c r="F1837" s="1044"/>
      <c r="G1837" s="1077">
        <f t="shared" si="28"/>
        <v>0</v>
      </c>
      <c r="H1837" s="1042" t="str">
        <f>IF(C1837="","",VLOOKUP(C1837,Compte!$A$3:$B$346,2,0))</f>
        <v/>
      </c>
      <c r="I1837" s="1043" t="str">
        <f>IF(D1837="","",VLOOKUP(D1837,Compte!$A$3:$B$346,2,0))</f>
        <v/>
      </c>
    </row>
    <row r="1838" spans="1:9">
      <c r="A1838" s="1206"/>
      <c r="B1838" s="606"/>
      <c r="C1838" s="1046"/>
      <c r="D1838" s="1048"/>
      <c r="E1838" s="1068"/>
      <c r="F1838" s="1044"/>
      <c r="G1838" s="1077">
        <f t="shared" si="28"/>
        <v>0</v>
      </c>
      <c r="H1838" s="1042" t="str">
        <f>IF(C1838="","",VLOOKUP(C1838,Compte!$A$3:$B$346,2,0))</f>
        <v/>
      </c>
      <c r="I1838" s="1043" t="str">
        <f>IF(D1838="","",VLOOKUP(D1838,Compte!$A$3:$B$346,2,0))</f>
        <v/>
      </c>
    </row>
    <row r="1839" spans="1:9">
      <c r="A1839" s="1206"/>
      <c r="B1839" s="606"/>
      <c r="C1839" s="1046"/>
      <c r="D1839" s="1048"/>
      <c r="E1839" s="1068"/>
      <c r="F1839" s="1044"/>
      <c r="G1839" s="1077">
        <f t="shared" si="28"/>
        <v>0</v>
      </c>
      <c r="H1839" s="1042" t="str">
        <f>IF(C1839="","",VLOOKUP(C1839,Compte!$A$3:$B$346,2,0))</f>
        <v/>
      </c>
      <c r="I1839" s="1043" t="str">
        <f>IF(D1839="","",VLOOKUP(D1839,Compte!$A$3:$B$346,2,0))</f>
        <v/>
      </c>
    </row>
    <row r="1840" spans="1:9">
      <c r="A1840" s="1206"/>
      <c r="B1840" s="606"/>
      <c r="C1840" s="1046"/>
      <c r="D1840" s="1048"/>
      <c r="E1840" s="1068"/>
      <c r="F1840" s="1044"/>
      <c r="G1840" s="1077">
        <f t="shared" si="28"/>
        <v>0</v>
      </c>
      <c r="H1840" s="1042" t="str">
        <f>IF(C1840="","",VLOOKUP(C1840,Compte!$A$3:$B$346,2,0))</f>
        <v/>
      </c>
      <c r="I1840" s="1043" t="str">
        <f>IF(D1840="","",VLOOKUP(D1840,Compte!$A$3:$B$346,2,0))</f>
        <v/>
      </c>
    </row>
    <row r="1841" spans="1:9">
      <c r="A1841" s="1206"/>
      <c r="B1841" s="606"/>
      <c r="C1841" s="1046"/>
      <c r="D1841" s="1048"/>
      <c r="E1841" s="1068"/>
      <c r="F1841" s="1044"/>
      <c r="G1841" s="1077">
        <f t="shared" si="28"/>
        <v>0</v>
      </c>
      <c r="H1841" s="1042" t="str">
        <f>IF(C1841="","",VLOOKUP(C1841,Compte!$A$3:$B$346,2,0))</f>
        <v/>
      </c>
      <c r="I1841" s="1043" t="str">
        <f>IF(D1841="","",VLOOKUP(D1841,Compte!$A$3:$B$346,2,0))</f>
        <v/>
      </c>
    </row>
    <row r="1842" spans="1:9">
      <c r="A1842" s="1206"/>
      <c r="B1842" s="606"/>
      <c r="C1842" s="1046"/>
      <c r="D1842" s="1048"/>
      <c r="E1842" s="1068"/>
      <c r="F1842" s="1044"/>
      <c r="G1842" s="1077">
        <f t="shared" si="28"/>
        <v>0</v>
      </c>
      <c r="H1842" s="1042" t="str">
        <f>IF(C1842="","",VLOOKUP(C1842,Compte!$A$3:$B$346,2,0))</f>
        <v/>
      </c>
      <c r="I1842" s="1043" t="str">
        <f>IF(D1842="","",VLOOKUP(D1842,Compte!$A$3:$B$346,2,0))</f>
        <v/>
      </c>
    </row>
    <row r="1843" spans="1:9">
      <c r="A1843" s="1206"/>
      <c r="B1843" s="606"/>
      <c r="C1843" s="1046"/>
      <c r="D1843" s="1048"/>
      <c r="E1843" s="1068"/>
      <c r="F1843" s="1044"/>
      <c r="G1843" s="1077">
        <f t="shared" si="28"/>
        <v>0</v>
      </c>
      <c r="H1843" s="1042" t="str">
        <f>IF(C1843="","",VLOOKUP(C1843,Compte!$A$3:$B$346,2,0))</f>
        <v/>
      </c>
      <c r="I1843" s="1043" t="str">
        <f>IF(D1843="","",VLOOKUP(D1843,Compte!$A$3:$B$346,2,0))</f>
        <v/>
      </c>
    </row>
    <row r="1844" spans="1:9">
      <c r="A1844" s="1206"/>
      <c r="B1844" s="606"/>
      <c r="C1844" s="1046"/>
      <c r="D1844" s="1048"/>
      <c r="E1844" s="1068"/>
      <c r="F1844" s="1044"/>
      <c r="G1844" s="1077">
        <f t="shared" si="28"/>
        <v>0</v>
      </c>
      <c r="H1844" s="1042" t="str">
        <f>IF(C1844="","",VLOOKUP(C1844,Compte!$A$3:$B$346,2,0))</f>
        <v/>
      </c>
      <c r="I1844" s="1043" t="str">
        <f>IF(D1844="","",VLOOKUP(D1844,Compte!$A$3:$B$346,2,0))</f>
        <v/>
      </c>
    </row>
    <row r="1845" spans="1:9">
      <c r="A1845" s="1206"/>
      <c r="B1845" s="606"/>
      <c r="C1845" s="1046"/>
      <c r="D1845" s="1048"/>
      <c r="E1845" s="1068"/>
      <c r="F1845" s="1044"/>
      <c r="G1845" s="1077">
        <f t="shared" si="28"/>
        <v>0</v>
      </c>
      <c r="H1845" s="1042" t="str">
        <f>IF(C1845="","",VLOOKUP(C1845,Compte!$A$3:$B$346,2,0))</f>
        <v/>
      </c>
      <c r="I1845" s="1043" t="str">
        <f>IF(D1845="","",VLOOKUP(D1845,Compte!$A$3:$B$346,2,0))</f>
        <v/>
      </c>
    </row>
    <row r="1846" spans="1:9">
      <c r="A1846" s="1206"/>
      <c r="B1846" s="606"/>
      <c r="C1846" s="1046"/>
      <c r="D1846" s="1048"/>
      <c r="E1846" s="1068"/>
      <c r="F1846" s="1044"/>
      <c r="G1846" s="1077">
        <f t="shared" si="28"/>
        <v>0</v>
      </c>
      <c r="H1846" s="1042" t="str">
        <f>IF(C1846="","",VLOOKUP(C1846,Compte!$A$3:$B$346,2,0))</f>
        <v/>
      </c>
      <c r="I1846" s="1043" t="str">
        <f>IF(D1846="","",VLOOKUP(D1846,Compte!$A$3:$B$346,2,0))</f>
        <v/>
      </c>
    </row>
    <row r="1847" spans="1:9">
      <c r="A1847" s="1206"/>
      <c r="B1847" s="606"/>
      <c r="C1847" s="1046"/>
      <c r="D1847" s="1048"/>
      <c r="E1847" s="1068"/>
      <c r="F1847" s="1044"/>
      <c r="G1847" s="1077">
        <f t="shared" si="28"/>
        <v>0</v>
      </c>
      <c r="H1847" s="1042" t="str">
        <f>IF(C1847="","",VLOOKUP(C1847,Compte!$A$3:$B$346,2,0))</f>
        <v/>
      </c>
      <c r="I1847" s="1043" t="str">
        <f>IF(D1847="","",VLOOKUP(D1847,Compte!$A$3:$B$346,2,0))</f>
        <v/>
      </c>
    </row>
    <row r="1848" spans="1:9">
      <c r="A1848" s="1206"/>
      <c r="B1848" s="606"/>
      <c r="C1848" s="1046"/>
      <c r="D1848" s="1048"/>
      <c r="E1848" s="1068"/>
      <c r="F1848" s="1044"/>
      <c r="G1848" s="1077">
        <f t="shared" si="28"/>
        <v>0</v>
      </c>
      <c r="H1848" s="1042" t="str">
        <f>IF(C1848="","",VLOOKUP(C1848,Compte!$A$3:$B$346,2,0))</f>
        <v/>
      </c>
      <c r="I1848" s="1043" t="str">
        <f>IF(D1848="","",VLOOKUP(D1848,Compte!$A$3:$B$346,2,0))</f>
        <v/>
      </c>
    </row>
    <row r="1849" spans="1:9">
      <c r="A1849" s="1206"/>
      <c r="B1849" s="606"/>
      <c r="C1849" s="1046"/>
      <c r="D1849" s="1048"/>
      <c r="E1849" s="1068"/>
      <c r="F1849" s="1044"/>
      <c r="G1849" s="1077">
        <f t="shared" si="28"/>
        <v>0</v>
      </c>
      <c r="H1849" s="1042" t="str">
        <f>IF(C1849="","",VLOOKUP(C1849,Compte!$A$3:$B$346,2,0))</f>
        <v/>
      </c>
      <c r="I1849" s="1043" t="str">
        <f>IF(D1849="","",VLOOKUP(D1849,Compte!$A$3:$B$346,2,0))</f>
        <v/>
      </c>
    </row>
    <row r="1850" spans="1:9">
      <c r="A1850" s="1206"/>
      <c r="B1850" s="606"/>
      <c r="C1850" s="1046"/>
      <c r="D1850" s="1048"/>
      <c r="E1850" s="1068"/>
      <c r="F1850" s="1044"/>
      <c r="G1850" s="1077">
        <f t="shared" si="28"/>
        <v>0</v>
      </c>
      <c r="H1850" s="1042" t="str">
        <f>IF(C1850="","",VLOOKUP(C1850,Compte!$A$3:$B$346,2,0))</f>
        <v/>
      </c>
      <c r="I1850" s="1043" t="str">
        <f>IF(D1850="","",VLOOKUP(D1850,Compte!$A$3:$B$346,2,0))</f>
        <v/>
      </c>
    </row>
    <row r="1851" spans="1:9">
      <c r="A1851" s="1206"/>
      <c r="B1851" s="606"/>
      <c r="C1851" s="1046"/>
      <c r="D1851" s="1048"/>
      <c r="E1851" s="1068"/>
      <c r="F1851" s="1044"/>
      <c r="G1851" s="1077">
        <f t="shared" si="28"/>
        <v>0</v>
      </c>
      <c r="H1851" s="1042" t="str">
        <f>IF(C1851="","",VLOOKUP(C1851,Compte!$A$3:$B$346,2,0))</f>
        <v/>
      </c>
      <c r="I1851" s="1043" t="str">
        <f>IF(D1851="","",VLOOKUP(D1851,Compte!$A$3:$B$346,2,0))</f>
        <v/>
      </c>
    </row>
    <row r="1852" spans="1:9">
      <c r="A1852" s="1206"/>
      <c r="B1852" s="606"/>
      <c r="C1852" s="1046"/>
      <c r="D1852" s="1048"/>
      <c r="E1852" s="1068"/>
      <c r="F1852" s="1044"/>
      <c r="G1852" s="1077">
        <f t="shared" si="28"/>
        <v>0</v>
      </c>
      <c r="H1852" s="1042" t="str">
        <f>IF(C1852="","",VLOOKUP(C1852,Compte!$A$3:$B$346,2,0))</f>
        <v/>
      </c>
      <c r="I1852" s="1043" t="str">
        <f>IF(D1852="","",VLOOKUP(D1852,Compte!$A$3:$B$346,2,0))</f>
        <v/>
      </c>
    </row>
    <row r="1853" spans="1:9">
      <c r="A1853" s="1206"/>
      <c r="B1853" s="606"/>
      <c r="C1853" s="1046"/>
      <c r="D1853" s="1048"/>
      <c r="E1853" s="1068"/>
      <c r="F1853" s="1044"/>
      <c r="G1853" s="1077">
        <f t="shared" si="28"/>
        <v>0</v>
      </c>
      <c r="H1853" s="1042" t="str">
        <f>IF(C1853="","",VLOOKUP(C1853,Compte!$A$3:$B$346,2,0))</f>
        <v/>
      </c>
      <c r="I1853" s="1043" t="str">
        <f>IF(D1853="","",VLOOKUP(D1853,Compte!$A$3:$B$346,2,0))</f>
        <v/>
      </c>
    </row>
    <row r="1854" spans="1:9">
      <c r="A1854" s="1206"/>
      <c r="B1854" s="606"/>
      <c r="C1854" s="1046"/>
      <c r="D1854" s="1048"/>
      <c r="E1854" s="1068"/>
      <c r="F1854" s="1044"/>
      <c r="G1854" s="1077">
        <f t="shared" si="28"/>
        <v>0</v>
      </c>
      <c r="H1854" s="1042" t="str">
        <f>IF(C1854="","",VLOOKUP(C1854,Compte!$A$3:$B$346,2,0))</f>
        <v/>
      </c>
      <c r="I1854" s="1043" t="str">
        <f>IF(D1854="","",VLOOKUP(D1854,Compte!$A$3:$B$346,2,0))</f>
        <v/>
      </c>
    </row>
    <row r="1855" spans="1:9">
      <c r="A1855" s="1206"/>
      <c r="B1855" s="606"/>
      <c r="C1855" s="1046"/>
      <c r="D1855" s="1048"/>
      <c r="E1855" s="1068"/>
      <c r="F1855" s="1044"/>
      <c r="G1855" s="1077">
        <f t="shared" si="28"/>
        <v>0</v>
      </c>
      <c r="H1855" s="1042" t="str">
        <f>IF(C1855="","",VLOOKUP(C1855,Compte!$A$3:$B$346,2,0))</f>
        <v/>
      </c>
      <c r="I1855" s="1043" t="str">
        <f>IF(D1855="","",VLOOKUP(D1855,Compte!$A$3:$B$346,2,0))</f>
        <v/>
      </c>
    </row>
    <row r="1856" spans="1:9">
      <c r="A1856" s="1206"/>
      <c r="B1856" s="606"/>
      <c r="C1856" s="1046"/>
      <c r="D1856" s="1048"/>
      <c r="E1856" s="1068"/>
      <c r="F1856" s="1044"/>
      <c r="G1856" s="1077">
        <f t="shared" si="28"/>
        <v>0</v>
      </c>
      <c r="H1856" s="1042" t="str">
        <f>IF(C1856="","",VLOOKUP(C1856,Compte!$A$3:$B$346,2,0))</f>
        <v/>
      </c>
      <c r="I1856" s="1043" t="str">
        <f>IF(D1856="","",VLOOKUP(D1856,Compte!$A$3:$B$346,2,0))</f>
        <v/>
      </c>
    </row>
    <row r="1857" spans="1:9">
      <c r="A1857" s="1206"/>
      <c r="B1857" s="606"/>
      <c r="C1857" s="1046"/>
      <c r="D1857" s="1048"/>
      <c r="E1857" s="1068"/>
      <c r="F1857" s="1044"/>
      <c r="G1857" s="1077">
        <f t="shared" si="28"/>
        <v>0</v>
      </c>
      <c r="H1857" s="1042" t="str">
        <f>IF(C1857="","",VLOOKUP(C1857,Compte!$A$3:$B$346,2,0))</f>
        <v/>
      </c>
      <c r="I1857" s="1043" t="str">
        <f>IF(D1857="","",VLOOKUP(D1857,Compte!$A$3:$B$346,2,0))</f>
        <v/>
      </c>
    </row>
    <row r="1858" spans="1:9">
      <c r="A1858" s="1206"/>
      <c r="B1858" s="606"/>
      <c r="C1858" s="1046"/>
      <c r="D1858" s="1048"/>
      <c r="E1858" s="1068"/>
      <c r="F1858" s="1044"/>
      <c r="G1858" s="1077">
        <f t="shared" si="28"/>
        <v>0</v>
      </c>
      <c r="H1858" s="1042" t="str">
        <f>IF(C1858="","",VLOOKUP(C1858,Compte!$A$3:$B$346,2,0))</f>
        <v/>
      </c>
      <c r="I1858" s="1043" t="str">
        <f>IF(D1858="","",VLOOKUP(D1858,Compte!$A$3:$B$346,2,0))</f>
        <v/>
      </c>
    </row>
    <row r="1859" spans="1:9">
      <c r="A1859" s="1206"/>
      <c r="B1859" s="606"/>
      <c r="C1859" s="1046"/>
      <c r="D1859" s="1048"/>
      <c r="E1859" s="1068"/>
      <c r="F1859" s="1044"/>
      <c r="G1859" s="1077">
        <f t="shared" si="28"/>
        <v>0</v>
      </c>
      <c r="H1859" s="1042" t="str">
        <f>IF(C1859="","",VLOOKUP(C1859,Compte!$A$3:$B$346,2,0))</f>
        <v/>
      </c>
      <c r="I1859" s="1043" t="str">
        <f>IF(D1859="","",VLOOKUP(D1859,Compte!$A$3:$B$346,2,0))</f>
        <v/>
      </c>
    </row>
    <row r="1860" spans="1:9">
      <c r="A1860" s="1206"/>
      <c r="B1860" s="606"/>
      <c r="C1860" s="1046"/>
      <c r="D1860" s="1048"/>
      <c r="E1860" s="1068"/>
      <c r="F1860" s="1044"/>
      <c r="G1860" s="1077">
        <f t="shared" si="28"/>
        <v>0</v>
      </c>
      <c r="H1860" s="1042" t="str">
        <f>IF(C1860="","",VLOOKUP(C1860,Compte!$A$3:$B$346,2,0))</f>
        <v/>
      </c>
      <c r="I1860" s="1043" t="str">
        <f>IF(D1860="","",VLOOKUP(D1860,Compte!$A$3:$B$346,2,0))</f>
        <v/>
      </c>
    </row>
    <row r="1861" spans="1:9">
      <c r="A1861" s="1206"/>
      <c r="B1861" s="606"/>
      <c r="C1861" s="1046"/>
      <c r="D1861" s="1048"/>
      <c r="E1861" s="1068"/>
      <c r="F1861" s="1044"/>
      <c r="G1861" s="1077">
        <f t="shared" si="28"/>
        <v>0</v>
      </c>
      <c r="H1861" s="1042" t="str">
        <f>IF(C1861="","",VLOOKUP(C1861,Compte!$A$3:$B$346,2,0))</f>
        <v/>
      </c>
      <c r="I1861" s="1043" t="str">
        <f>IF(D1861="","",VLOOKUP(D1861,Compte!$A$3:$B$346,2,0))</f>
        <v/>
      </c>
    </row>
    <row r="1862" spans="1:9">
      <c r="A1862" s="1206"/>
      <c r="B1862" s="606"/>
      <c r="C1862" s="1046"/>
      <c r="D1862" s="1048"/>
      <c r="E1862" s="1068"/>
      <c r="F1862" s="1044"/>
      <c r="G1862" s="1077">
        <f t="shared" si="28"/>
        <v>0</v>
      </c>
      <c r="H1862" s="1042" t="str">
        <f>IF(C1862="","",VLOOKUP(C1862,Compte!$A$3:$B$346,2,0))</f>
        <v/>
      </c>
      <c r="I1862" s="1043" t="str">
        <f>IF(D1862="","",VLOOKUP(D1862,Compte!$A$3:$B$346,2,0))</f>
        <v/>
      </c>
    </row>
    <row r="1863" spans="1:9">
      <c r="A1863" s="1206"/>
      <c r="B1863" s="606"/>
      <c r="C1863" s="1046"/>
      <c r="D1863" s="1048"/>
      <c r="E1863" s="1068"/>
      <c r="F1863" s="1044"/>
      <c r="G1863" s="1077">
        <f t="shared" si="28"/>
        <v>0</v>
      </c>
      <c r="H1863" s="1042" t="str">
        <f>IF(C1863="","",VLOOKUP(C1863,Compte!$A$3:$B$346,2,0))</f>
        <v/>
      </c>
      <c r="I1863" s="1043" t="str">
        <f>IF(D1863="","",VLOOKUP(D1863,Compte!$A$3:$B$346,2,0))</f>
        <v/>
      </c>
    </row>
    <row r="1864" spans="1:9">
      <c r="A1864" s="1206"/>
      <c r="B1864" s="606"/>
      <c r="C1864" s="1046"/>
      <c r="D1864" s="1048"/>
      <c r="E1864" s="1068"/>
      <c r="F1864" s="1044"/>
      <c r="G1864" s="1077">
        <f t="shared" ref="G1864:G1927" si="29">IF(C1864="",F1864,E1864)</f>
        <v>0</v>
      </c>
      <c r="H1864" s="1042" t="str">
        <f>IF(C1864="","",VLOOKUP(C1864,Compte!$A$3:$B$346,2,0))</f>
        <v/>
      </c>
      <c r="I1864" s="1043" t="str">
        <f>IF(D1864="","",VLOOKUP(D1864,Compte!$A$3:$B$346,2,0))</f>
        <v/>
      </c>
    </row>
    <row r="1865" spans="1:9">
      <c r="A1865" s="1206"/>
      <c r="B1865" s="606"/>
      <c r="C1865" s="1046"/>
      <c r="D1865" s="1048"/>
      <c r="E1865" s="1068"/>
      <c r="F1865" s="1044"/>
      <c r="G1865" s="1077">
        <f t="shared" si="29"/>
        <v>0</v>
      </c>
      <c r="H1865" s="1042" t="str">
        <f>IF(C1865="","",VLOOKUP(C1865,Compte!$A$3:$B$346,2,0))</f>
        <v/>
      </c>
      <c r="I1865" s="1043" t="str">
        <f>IF(D1865="","",VLOOKUP(D1865,Compte!$A$3:$B$346,2,0))</f>
        <v/>
      </c>
    </row>
    <row r="1866" spans="1:9">
      <c r="A1866" s="1206"/>
      <c r="B1866" s="606"/>
      <c r="C1866" s="1046"/>
      <c r="D1866" s="1048"/>
      <c r="E1866" s="1068"/>
      <c r="F1866" s="1044"/>
      <c r="G1866" s="1077">
        <f t="shared" si="29"/>
        <v>0</v>
      </c>
      <c r="H1866" s="1042" t="str">
        <f>IF(C1866="","",VLOOKUP(C1866,Compte!$A$3:$B$346,2,0))</f>
        <v/>
      </c>
      <c r="I1866" s="1043" t="str">
        <f>IF(D1866="","",VLOOKUP(D1866,Compte!$A$3:$B$346,2,0))</f>
        <v/>
      </c>
    </row>
    <row r="1867" spans="1:9">
      <c r="A1867" s="1206"/>
      <c r="B1867" s="606"/>
      <c r="C1867" s="1046"/>
      <c r="D1867" s="1048"/>
      <c r="E1867" s="1068"/>
      <c r="F1867" s="1044"/>
      <c r="G1867" s="1077">
        <f t="shared" si="29"/>
        <v>0</v>
      </c>
      <c r="H1867" s="1042" t="str">
        <f>IF(C1867="","",VLOOKUP(C1867,Compte!$A$3:$B$346,2,0))</f>
        <v/>
      </c>
      <c r="I1867" s="1043" t="str">
        <f>IF(D1867="","",VLOOKUP(D1867,Compte!$A$3:$B$346,2,0))</f>
        <v/>
      </c>
    </row>
    <row r="1868" spans="1:9">
      <c r="A1868" s="1206"/>
      <c r="B1868" s="606"/>
      <c r="C1868" s="1046"/>
      <c r="D1868" s="1048"/>
      <c r="E1868" s="1068"/>
      <c r="F1868" s="1044"/>
      <c r="G1868" s="1077">
        <f t="shared" si="29"/>
        <v>0</v>
      </c>
      <c r="H1868" s="1042" t="str">
        <f>IF(C1868="","",VLOOKUP(C1868,Compte!$A$3:$B$346,2,0))</f>
        <v/>
      </c>
      <c r="I1868" s="1043" t="str">
        <f>IF(D1868="","",VLOOKUP(D1868,Compte!$A$3:$B$346,2,0))</f>
        <v/>
      </c>
    </row>
    <row r="1869" spans="1:9">
      <c r="A1869" s="1206"/>
      <c r="B1869" s="606"/>
      <c r="C1869" s="1046"/>
      <c r="D1869" s="1048"/>
      <c r="E1869" s="1068"/>
      <c r="F1869" s="1044"/>
      <c r="G1869" s="1077">
        <f t="shared" si="29"/>
        <v>0</v>
      </c>
      <c r="H1869" s="1042" t="str">
        <f>IF(C1869="","",VLOOKUP(C1869,Compte!$A$3:$B$346,2,0))</f>
        <v/>
      </c>
      <c r="I1869" s="1043" t="str">
        <f>IF(D1869="","",VLOOKUP(D1869,Compte!$A$3:$B$346,2,0))</f>
        <v/>
      </c>
    </row>
    <row r="1870" spans="1:9">
      <c r="A1870" s="1206"/>
      <c r="B1870" s="606"/>
      <c r="C1870" s="1046"/>
      <c r="D1870" s="1048"/>
      <c r="E1870" s="1068"/>
      <c r="F1870" s="1044"/>
      <c r="G1870" s="1077">
        <f t="shared" si="29"/>
        <v>0</v>
      </c>
      <c r="H1870" s="1042" t="str">
        <f>IF(C1870="","",VLOOKUP(C1870,Compte!$A$3:$B$346,2,0))</f>
        <v/>
      </c>
      <c r="I1870" s="1043" t="str">
        <f>IF(D1870="","",VLOOKUP(D1870,Compte!$A$3:$B$346,2,0))</f>
        <v/>
      </c>
    </row>
    <row r="1871" spans="1:9">
      <c r="A1871" s="1206"/>
      <c r="B1871" s="606"/>
      <c r="C1871" s="1046"/>
      <c r="D1871" s="1048"/>
      <c r="E1871" s="1068"/>
      <c r="F1871" s="1044"/>
      <c r="G1871" s="1077">
        <f t="shared" si="29"/>
        <v>0</v>
      </c>
      <c r="H1871" s="1042" t="str">
        <f>IF(C1871="","",VLOOKUP(C1871,Compte!$A$3:$B$346,2,0))</f>
        <v/>
      </c>
      <c r="I1871" s="1043" t="str">
        <f>IF(D1871="","",VLOOKUP(D1871,Compte!$A$3:$B$346,2,0))</f>
        <v/>
      </c>
    </row>
    <row r="1872" spans="1:9">
      <c r="A1872" s="1206"/>
      <c r="B1872" s="606"/>
      <c r="C1872" s="1046"/>
      <c r="D1872" s="1048"/>
      <c r="E1872" s="1068"/>
      <c r="F1872" s="1044"/>
      <c r="G1872" s="1077">
        <f t="shared" si="29"/>
        <v>0</v>
      </c>
      <c r="H1872" s="1042" t="str">
        <f>IF(C1872="","",VLOOKUP(C1872,Compte!$A$3:$B$346,2,0))</f>
        <v/>
      </c>
      <c r="I1872" s="1043" t="str">
        <f>IF(D1872="","",VLOOKUP(D1872,Compte!$A$3:$B$346,2,0))</f>
        <v/>
      </c>
    </row>
    <row r="1873" spans="1:9">
      <c r="A1873" s="1206"/>
      <c r="B1873" s="606"/>
      <c r="C1873" s="1046"/>
      <c r="D1873" s="1048"/>
      <c r="E1873" s="1068"/>
      <c r="F1873" s="1044"/>
      <c r="G1873" s="1077">
        <f t="shared" si="29"/>
        <v>0</v>
      </c>
      <c r="H1873" s="1042" t="str">
        <f>IF(C1873="","",VLOOKUP(C1873,Compte!$A$3:$B$346,2,0))</f>
        <v/>
      </c>
      <c r="I1873" s="1043" t="str">
        <f>IF(D1873="","",VLOOKUP(D1873,Compte!$A$3:$B$346,2,0))</f>
        <v/>
      </c>
    </row>
    <row r="1874" spans="1:9">
      <c r="A1874" s="1206"/>
      <c r="B1874" s="606"/>
      <c r="C1874" s="1046"/>
      <c r="D1874" s="1048"/>
      <c r="E1874" s="1068"/>
      <c r="F1874" s="1044"/>
      <c r="G1874" s="1077">
        <f t="shared" si="29"/>
        <v>0</v>
      </c>
      <c r="H1874" s="1042" t="str">
        <f>IF(C1874="","",VLOOKUP(C1874,Compte!$A$3:$B$346,2,0))</f>
        <v/>
      </c>
      <c r="I1874" s="1043" t="str">
        <f>IF(D1874="","",VLOOKUP(D1874,Compte!$A$3:$B$346,2,0))</f>
        <v/>
      </c>
    </row>
    <row r="1875" spans="1:9">
      <c r="A1875" s="1206"/>
      <c r="B1875" s="606"/>
      <c r="C1875" s="1046"/>
      <c r="D1875" s="1048"/>
      <c r="E1875" s="1068"/>
      <c r="F1875" s="1044"/>
      <c r="G1875" s="1077">
        <f t="shared" si="29"/>
        <v>0</v>
      </c>
      <c r="H1875" s="1042" t="str">
        <f>IF(C1875="","",VLOOKUP(C1875,Compte!$A$3:$B$346,2,0))</f>
        <v/>
      </c>
      <c r="I1875" s="1043" t="str">
        <f>IF(D1875="","",VLOOKUP(D1875,Compte!$A$3:$B$346,2,0))</f>
        <v/>
      </c>
    </row>
    <row r="1876" spans="1:9">
      <c r="A1876" s="1206"/>
      <c r="B1876" s="606"/>
      <c r="C1876" s="1046"/>
      <c r="D1876" s="1048"/>
      <c r="E1876" s="1068"/>
      <c r="F1876" s="1044"/>
      <c r="G1876" s="1077">
        <f t="shared" si="29"/>
        <v>0</v>
      </c>
      <c r="H1876" s="1042" t="str">
        <f>IF(C1876="","",VLOOKUP(C1876,Compte!$A$3:$B$346,2,0))</f>
        <v/>
      </c>
      <c r="I1876" s="1043" t="str">
        <f>IF(D1876="","",VLOOKUP(D1876,Compte!$A$3:$B$346,2,0))</f>
        <v/>
      </c>
    </row>
    <row r="1877" spans="1:9">
      <c r="A1877" s="1206"/>
      <c r="B1877" s="606"/>
      <c r="C1877" s="1046"/>
      <c r="D1877" s="1048"/>
      <c r="E1877" s="1068"/>
      <c r="F1877" s="1044"/>
      <c r="G1877" s="1077">
        <f t="shared" si="29"/>
        <v>0</v>
      </c>
      <c r="H1877" s="1042" t="str">
        <f>IF(C1877="","",VLOOKUP(C1877,Compte!$A$3:$B$346,2,0))</f>
        <v/>
      </c>
      <c r="I1877" s="1043" t="str">
        <f>IF(D1877="","",VLOOKUP(D1877,Compte!$A$3:$B$346,2,0))</f>
        <v/>
      </c>
    </row>
    <row r="1878" spans="1:9">
      <c r="A1878" s="1206"/>
      <c r="B1878" s="606"/>
      <c r="C1878" s="1046"/>
      <c r="D1878" s="1048"/>
      <c r="E1878" s="1068"/>
      <c r="F1878" s="1044"/>
      <c r="G1878" s="1077">
        <f t="shared" si="29"/>
        <v>0</v>
      </c>
      <c r="H1878" s="1042" t="str">
        <f>IF(C1878="","",VLOOKUP(C1878,Compte!$A$3:$B$346,2,0))</f>
        <v/>
      </c>
      <c r="I1878" s="1043" t="str">
        <f>IF(D1878="","",VLOOKUP(D1878,Compte!$A$3:$B$346,2,0))</f>
        <v/>
      </c>
    </row>
    <row r="1879" spans="1:9">
      <c r="A1879" s="1206"/>
      <c r="B1879" s="606"/>
      <c r="C1879" s="1046"/>
      <c r="D1879" s="1048"/>
      <c r="E1879" s="1068"/>
      <c r="F1879" s="1044"/>
      <c r="G1879" s="1077">
        <f t="shared" si="29"/>
        <v>0</v>
      </c>
      <c r="H1879" s="1042" t="str">
        <f>IF(C1879="","",VLOOKUP(C1879,Compte!$A$3:$B$346,2,0))</f>
        <v/>
      </c>
      <c r="I1879" s="1043" t="str">
        <f>IF(D1879="","",VLOOKUP(D1879,Compte!$A$3:$B$346,2,0))</f>
        <v/>
      </c>
    </row>
    <row r="1880" spans="1:9">
      <c r="A1880" s="1206"/>
      <c r="B1880" s="606"/>
      <c r="C1880" s="1046"/>
      <c r="D1880" s="1048"/>
      <c r="E1880" s="1068"/>
      <c r="F1880" s="1044"/>
      <c r="G1880" s="1077">
        <f t="shared" si="29"/>
        <v>0</v>
      </c>
      <c r="H1880" s="1042" t="str">
        <f>IF(C1880="","",VLOOKUP(C1880,Compte!$A$3:$B$346,2,0))</f>
        <v/>
      </c>
      <c r="I1880" s="1043" t="str">
        <f>IF(D1880="","",VLOOKUP(D1880,Compte!$A$3:$B$346,2,0))</f>
        <v/>
      </c>
    </row>
    <row r="1881" spans="1:9">
      <c r="A1881" s="1206"/>
      <c r="B1881" s="606"/>
      <c r="C1881" s="1046"/>
      <c r="D1881" s="1048"/>
      <c r="E1881" s="1068"/>
      <c r="F1881" s="1044"/>
      <c r="G1881" s="1077">
        <f t="shared" si="29"/>
        <v>0</v>
      </c>
      <c r="H1881" s="1042" t="str">
        <f>IF(C1881="","",VLOOKUP(C1881,Compte!$A$3:$B$346,2,0))</f>
        <v/>
      </c>
      <c r="I1881" s="1043" t="str">
        <f>IF(D1881="","",VLOOKUP(D1881,Compte!$A$3:$B$346,2,0))</f>
        <v/>
      </c>
    </row>
    <row r="1882" spans="1:9">
      <c r="A1882" s="1206"/>
      <c r="B1882" s="606"/>
      <c r="C1882" s="1046"/>
      <c r="D1882" s="1048"/>
      <c r="E1882" s="1068"/>
      <c r="F1882" s="1044"/>
      <c r="G1882" s="1077">
        <f t="shared" si="29"/>
        <v>0</v>
      </c>
      <c r="H1882" s="1042" t="str">
        <f>IF(C1882="","",VLOOKUP(C1882,Compte!$A$3:$B$346,2,0))</f>
        <v/>
      </c>
      <c r="I1882" s="1043" t="str">
        <f>IF(D1882="","",VLOOKUP(D1882,Compte!$A$3:$B$346,2,0))</f>
        <v/>
      </c>
    </row>
    <row r="1883" spans="1:9">
      <c r="A1883" s="1206"/>
      <c r="B1883" s="606"/>
      <c r="C1883" s="1046"/>
      <c r="D1883" s="1048"/>
      <c r="E1883" s="1068"/>
      <c r="F1883" s="1044"/>
      <c r="G1883" s="1077">
        <f t="shared" si="29"/>
        <v>0</v>
      </c>
      <c r="H1883" s="1042" t="str">
        <f>IF(C1883="","",VLOOKUP(C1883,Compte!$A$3:$B$346,2,0))</f>
        <v/>
      </c>
      <c r="I1883" s="1043" t="str">
        <f>IF(D1883="","",VLOOKUP(D1883,Compte!$A$3:$B$346,2,0))</f>
        <v/>
      </c>
    </row>
    <row r="1884" spans="1:9">
      <c r="A1884" s="1206"/>
      <c r="B1884" s="606"/>
      <c r="C1884" s="1046"/>
      <c r="D1884" s="1048"/>
      <c r="E1884" s="1068"/>
      <c r="F1884" s="1044"/>
      <c r="G1884" s="1077">
        <f t="shared" si="29"/>
        <v>0</v>
      </c>
      <c r="H1884" s="1042" t="str">
        <f>IF(C1884="","",VLOOKUP(C1884,Compte!$A$3:$B$346,2,0))</f>
        <v/>
      </c>
      <c r="I1884" s="1043" t="str">
        <f>IF(D1884="","",VLOOKUP(D1884,Compte!$A$3:$B$346,2,0))</f>
        <v/>
      </c>
    </row>
    <row r="1885" spans="1:9">
      <c r="A1885" s="1206"/>
      <c r="B1885" s="606"/>
      <c r="C1885" s="1046"/>
      <c r="D1885" s="1048"/>
      <c r="E1885" s="1068"/>
      <c r="F1885" s="1044"/>
      <c r="G1885" s="1077">
        <f t="shared" si="29"/>
        <v>0</v>
      </c>
      <c r="H1885" s="1042" t="str">
        <f>IF(C1885="","",VLOOKUP(C1885,Compte!$A$3:$B$346,2,0))</f>
        <v/>
      </c>
      <c r="I1885" s="1043" t="str">
        <f>IF(D1885="","",VLOOKUP(D1885,Compte!$A$3:$B$346,2,0))</f>
        <v/>
      </c>
    </row>
    <row r="1886" spans="1:9">
      <c r="A1886" s="1206"/>
      <c r="B1886" s="606"/>
      <c r="C1886" s="1046"/>
      <c r="D1886" s="1048"/>
      <c r="E1886" s="1068"/>
      <c r="F1886" s="1044"/>
      <c r="G1886" s="1077">
        <f t="shared" si="29"/>
        <v>0</v>
      </c>
      <c r="H1886" s="1042" t="str">
        <f>IF(C1886="","",VLOOKUP(C1886,Compte!$A$3:$B$346,2,0))</f>
        <v/>
      </c>
      <c r="I1886" s="1043" t="str">
        <f>IF(D1886="","",VLOOKUP(D1886,Compte!$A$3:$B$346,2,0))</f>
        <v/>
      </c>
    </row>
    <row r="1887" spans="1:9">
      <c r="A1887" s="1206"/>
      <c r="B1887" s="606"/>
      <c r="C1887" s="1046"/>
      <c r="D1887" s="1048"/>
      <c r="E1887" s="1068"/>
      <c r="F1887" s="1044"/>
      <c r="G1887" s="1077">
        <f t="shared" si="29"/>
        <v>0</v>
      </c>
      <c r="H1887" s="1042" t="str">
        <f>IF(C1887="","",VLOOKUP(C1887,Compte!$A$3:$B$346,2,0))</f>
        <v/>
      </c>
      <c r="I1887" s="1043" t="str">
        <f>IF(D1887="","",VLOOKUP(D1887,Compte!$A$3:$B$346,2,0))</f>
        <v/>
      </c>
    </row>
    <row r="1888" spans="1:9">
      <c r="A1888" s="1206"/>
      <c r="B1888" s="606"/>
      <c r="C1888" s="1046"/>
      <c r="D1888" s="1048"/>
      <c r="E1888" s="1068"/>
      <c r="F1888" s="1044"/>
      <c r="G1888" s="1077">
        <f t="shared" si="29"/>
        <v>0</v>
      </c>
      <c r="H1888" s="1042" t="str">
        <f>IF(C1888="","",VLOOKUP(C1888,Compte!$A$3:$B$346,2,0))</f>
        <v/>
      </c>
      <c r="I1888" s="1043" t="str">
        <f>IF(D1888="","",VLOOKUP(D1888,Compte!$A$3:$B$346,2,0))</f>
        <v/>
      </c>
    </row>
    <row r="1889" spans="1:9">
      <c r="A1889" s="1206"/>
      <c r="B1889" s="606"/>
      <c r="C1889" s="1046"/>
      <c r="D1889" s="1048"/>
      <c r="E1889" s="1068"/>
      <c r="F1889" s="1044"/>
      <c r="G1889" s="1077">
        <f t="shared" si="29"/>
        <v>0</v>
      </c>
      <c r="H1889" s="1042" t="str">
        <f>IF(C1889="","",VLOOKUP(C1889,Compte!$A$3:$B$346,2,0))</f>
        <v/>
      </c>
      <c r="I1889" s="1043" t="str">
        <f>IF(D1889="","",VLOOKUP(D1889,Compte!$A$3:$B$346,2,0))</f>
        <v/>
      </c>
    </row>
    <row r="1890" spans="1:9">
      <c r="A1890" s="1206"/>
      <c r="B1890" s="606"/>
      <c r="C1890" s="1046"/>
      <c r="D1890" s="1048"/>
      <c r="E1890" s="1068"/>
      <c r="F1890" s="1044"/>
      <c r="G1890" s="1077">
        <f t="shared" si="29"/>
        <v>0</v>
      </c>
      <c r="H1890" s="1042" t="str">
        <f>IF(C1890="","",VLOOKUP(C1890,Compte!$A$3:$B$346,2,0))</f>
        <v/>
      </c>
      <c r="I1890" s="1043" t="str">
        <f>IF(D1890="","",VLOOKUP(D1890,Compte!$A$3:$B$346,2,0))</f>
        <v/>
      </c>
    </row>
    <row r="1891" spans="1:9">
      <c r="A1891" s="1206"/>
      <c r="B1891" s="606"/>
      <c r="C1891" s="1046"/>
      <c r="D1891" s="1048"/>
      <c r="E1891" s="1068"/>
      <c r="F1891" s="1044"/>
      <c r="G1891" s="1077">
        <f t="shared" si="29"/>
        <v>0</v>
      </c>
      <c r="H1891" s="1042" t="str">
        <f>IF(C1891="","",VLOOKUP(C1891,Compte!$A$3:$B$346,2,0))</f>
        <v/>
      </c>
      <c r="I1891" s="1043" t="str">
        <f>IF(D1891="","",VLOOKUP(D1891,Compte!$A$3:$B$346,2,0))</f>
        <v/>
      </c>
    </row>
    <row r="1892" spans="1:9">
      <c r="A1892" s="1206"/>
      <c r="B1892" s="606"/>
      <c r="C1892" s="1046"/>
      <c r="D1892" s="1048"/>
      <c r="E1892" s="1068"/>
      <c r="F1892" s="1044"/>
      <c r="G1892" s="1077">
        <f t="shared" si="29"/>
        <v>0</v>
      </c>
      <c r="H1892" s="1042" t="str">
        <f>IF(C1892="","",VLOOKUP(C1892,Compte!$A$3:$B$346,2,0))</f>
        <v/>
      </c>
      <c r="I1892" s="1043" t="str">
        <f>IF(D1892="","",VLOOKUP(D1892,Compte!$A$3:$B$346,2,0))</f>
        <v/>
      </c>
    </row>
    <row r="1893" spans="1:9">
      <c r="A1893" s="1206"/>
      <c r="B1893" s="606"/>
      <c r="C1893" s="1046"/>
      <c r="D1893" s="1048"/>
      <c r="E1893" s="1068"/>
      <c r="F1893" s="1044"/>
      <c r="G1893" s="1077">
        <f t="shared" si="29"/>
        <v>0</v>
      </c>
      <c r="H1893" s="1042" t="str">
        <f>IF(C1893="","",VLOOKUP(C1893,Compte!$A$3:$B$346,2,0))</f>
        <v/>
      </c>
      <c r="I1893" s="1043" t="str">
        <f>IF(D1893="","",VLOOKUP(D1893,Compte!$A$3:$B$346,2,0))</f>
        <v/>
      </c>
    </row>
    <row r="1894" spans="1:9">
      <c r="A1894" s="1206"/>
      <c r="B1894" s="606"/>
      <c r="C1894" s="1046"/>
      <c r="D1894" s="1048"/>
      <c r="E1894" s="1068"/>
      <c r="F1894" s="1044"/>
      <c r="G1894" s="1077">
        <f t="shared" si="29"/>
        <v>0</v>
      </c>
      <c r="H1894" s="1042" t="str">
        <f>IF(C1894="","",VLOOKUP(C1894,Compte!$A$3:$B$346,2,0))</f>
        <v/>
      </c>
      <c r="I1894" s="1043" t="str">
        <f>IF(D1894="","",VLOOKUP(D1894,Compte!$A$3:$B$346,2,0))</f>
        <v/>
      </c>
    </row>
    <row r="1895" spans="1:9">
      <c r="A1895" s="1206"/>
      <c r="B1895" s="606"/>
      <c r="C1895" s="1046"/>
      <c r="D1895" s="1048"/>
      <c r="E1895" s="1068"/>
      <c r="F1895" s="1044"/>
      <c r="G1895" s="1077">
        <f t="shared" si="29"/>
        <v>0</v>
      </c>
      <c r="H1895" s="1042" t="str">
        <f>IF(C1895="","",VLOOKUP(C1895,Compte!$A$3:$B$346,2,0))</f>
        <v/>
      </c>
      <c r="I1895" s="1043" t="str">
        <f>IF(D1895="","",VLOOKUP(D1895,Compte!$A$3:$B$346,2,0))</f>
        <v/>
      </c>
    </row>
    <row r="1896" spans="1:9">
      <c r="A1896" s="1206"/>
      <c r="B1896" s="606"/>
      <c r="C1896" s="1046"/>
      <c r="D1896" s="1048"/>
      <c r="E1896" s="1068"/>
      <c r="F1896" s="1044"/>
      <c r="G1896" s="1077">
        <f t="shared" si="29"/>
        <v>0</v>
      </c>
      <c r="H1896" s="1042" t="str">
        <f>IF(C1896="","",VLOOKUP(C1896,Compte!$A$3:$B$346,2,0))</f>
        <v/>
      </c>
      <c r="I1896" s="1043" t="str">
        <f>IF(D1896="","",VLOOKUP(D1896,Compte!$A$3:$B$346,2,0))</f>
        <v/>
      </c>
    </row>
    <row r="1897" spans="1:9">
      <c r="A1897" s="1206"/>
      <c r="B1897" s="606"/>
      <c r="C1897" s="1046"/>
      <c r="D1897" s="1048"/>
      <c r="E1897" s="1068"/>
      <c r="F1897" s="1044"/>
      <c r="G1897" s="1077">
        <f t="shared" si="29"/>
        <v>0</v>
      </c>
      <c r="H1897" s="1042" t="str">
        <f>IF(C1897="","",VLOOKUP(C1897,Compte!$A$3:$B$346,2,0))</f>
        <v/>
      </c>
      <c r="I1897" s="1043" t="str">
        <f>IF(D1897="","",VLOOKUP(D1897,Compte!$A$3:$B$346,2,0))</f>
        <v/>
      </c>
    </row>
    <row r="1898" spans="1:9">
      <c r="A1898" s="1206"/>
      <c r="B1898" s="606"/>
      <c r="C1898" s="1046"/>
      <c r="D1898" s="1048"/>
      <c r="E1898" s="1068"/>
      <c r="F1898" s="1044"/>
      <c r="G1898" s="1077">
        <f t="shared" si="29"/>
        <v>0</v>
      </c>
      <c r="H1898" s="1042" t="str">
        <f>IF(C1898="","",VLOOKUP(C1898,Compte!$A$3:$B$346,2,0))</f>
        <v/>
      </c>
      <c r="I1898" s="1043" t="str">
        <f>IF(D1898="","",VLOOKUP(D1898,Compte!$A$3:$B$346,2,0))</f>
        <v/>
      </c>
    </row>
    <row r="1899" spans="1:9">
      <c r="A1899" s="1206"/>
      <c r="B1899" s="606"/>
      <c r="C1899" s="1046"/>
      <c r="D1899" s="1048"/>
      <c r="E1899" s="1068"/>
      <c r="F1899" s="1044"/>
      <c r="G1899" s="1077">
        <f t="shared" si="29"/>
        <v>0</v>
      </c>
      <c r="H1899" s="1042" t="str">
        <f>IF(C1899="","",VLOOKUP(C1899,Compte!$A$3:$B$346,2,0))</f>
        <v/>
      </c>
      <c r="I1899" s="1043" t="str">
        <f>IF(D1899="","",VLOOKUP(D1899,Compte!$A$3:$B$346,2,0))</f>
        <v/>
      </c>
    </row>
    <row r="1900" spans="1:9">
      <c r="A1900" s="1206"/>
      <c r="B1900" s="606"/>
      <c r="C1900" s="1046"/>
      <c r="D1900" s="1048"/>
      <c r="E1900" s="1068"/>
      <c r="F1900" s="1044"/>
      <c r="G1900" s="1077">
        <f t="shared" si="29"/>
        <v>0</v>
      </c>
      <c r="H1900" s="1042" t="str">
        <f>IF(C1900="","",VLOOKUP(C1900,Compte!$A$3:$B$346,2,0))</f>
        <v/>
      </c>
      <c r="I1900" s="1043" t="str">
        <f>IF(D1900="","",VLOOKUP(D1900,Compte!$A$3:$B$346,2,0))</f>
        <v/>
      </c>
    </row>
    <row r="1901" spans="1:9">
      <c r="A1901" s="1206"/>
      <c r="B1901" s="606"/>
      <c r="C1901" s="1046"/>
      <c r="D1901" s="1048"/>
      <c r="E1901" s="1068"/>
      <c r="F1901" s="1044"/>
      <c r="G1901" s="1077">
        <f t="shared" si="29"/>
        <v>0</v>
      </c>
      <c r="H1901" s="1042" t="str">
        <f>IF(C1901="","",VLOOKUP(C1901,Compte!$A$3:$B$346,2,0))</f>
        <v/>
      </c>
      <c r="I1901" s="1043" t="str">
        <f>IF(D1901="","",VLOOKUP(D1901,Compte!$A$3:$B$346,2,0))</f>
        <v/>
      </c>
    </row>
    <row r="1902" spans="1:9">
      <c r="A1902" s="1206"/>
      <c r="B1902" s="606"/>
      <c r="C1902" s="1046"/>
      <c r="D1902" s="1048"/>
      <c r="E1902" s="1068"/>
      <c r="F1902" s="1044"/>
      <c r="G1902" s="1077">
        <f t="shared" si="29"/>
        <v>0</v>
      </c>
      <c r="H1902" s="1042" t="str">
        <f>IF(C1902="","",VLOOKUP(C1902,Compte!$A$3:$B$346,2,0))</f>
        <v/>
      </c>
      <c r="I1902" s="1043" t="str">
        <f>IF(D1902="","",VLOOKUP(D1902,Compte!$A$3:$B$346,2,0))</f>
        <v/>
      </c>
    </row>
    <row r="1903" spans="1:9">
      <c r="A1903" s="1206"/>
      <c r="B1903" s="606"/>
      <c r="C1903" s="1046"/>
      <c r="D1903" s="1048"/>
      <c r="E1903" s="1068"/>
      <c r="F1903" s="1044"/>
      <c r="G1903" s="1077">
        <f t="shared" si="29"/>
        <v>0</v>
      </c>
      <c r="H1903" s="1042" t="str">
        <f>IF(C1903="","",VLOOKUP(C1903,Compte!$A$3:$B$346,2,0))</f>
        <v/>
      </c>
      <c r="I1903" s="1043" t="str">
        <f>IF(D1903="","",VLOOKUP(D1903,Compte!$A$3:$B$346,2,0))</f>
        <v/>
      </c>
    </row>
    <row r="1904" spans="1:9">
      <c r="A1904" s="1206"/>
      <c r="B1904" s="606"/>
      <c r="C1904" s="1046"/>
      <c r="D1904" s="1048"/>
      <c r="E1904" s="1068"/>
      <c r="F1904" s="1044"/>
      <c r="G1904" s="1077">
        <f t="shared" si="29"/>
        <v>0</v>
      </c>
      <c r="H1904" s="1042" t="str">
        <f>IF(C1904="","",VLOOKUP(C1904,Compte!$A$3:$B$346,2,0))</f>
        <v/>
      </c>
      <c r="I1904" s="1043" t="str">
        <f>IF(D1904="","",VLOOKUP(D1904,Compte!$A$3:$B$346,2,0))</f>
        <v/>
      </c>
    </row>
    <row r="1905" spans="1:9">
      <c r="A1905" s="1206"/>
      <c r="B1905" s="606"/>
      <c r="C1905" s="1046"/>
      <c r="D1905" s="1048"/>
      <c r="E1905" s="1068"/>
      <c r="F1905" s="1044"/>
      <c r="G1905" s="1077">
        <f t="shared" si="29"/>
        <v>0</v>
      </c>
      <c r="H1905" s="1042" t="str">
        <f>IF(C1905="","",VLOOKUP(C1905,Compte!$A$3:$B$346,2,0))</f>
        <v/>
      </c>
      <c r="I1905" s="1043" t="str">
        <f>IF(D1905="","",VLOOKUP(D1905,Compte!$A$3:$B$346,2,0))</f>
        <v/>
      </c>
    </row>
    <row r="1906" spans="1:9">
      <c r="A1906" s="1206"/>
      <c r="B1906" s="606"/>
      <c r="C1906" s="1046"/>
      <c r="D1906" s="1048"/>
      <c r="E1906" s="1068"/>
      <c r="F1906" s="1044"/>
      <c r="G1906" s="1077">
        <f t="shared" si="29"/>
        <v>0</v>
      </c>
      <c r="H1906" s="1042" t="str">
        <f>IF(C1906="","",VLOOKUP(C1906,Compte!$A$3:$B$346,2,0))</f>
        <v/>
      </c>
      <c r="I1906" s="1043" t="str">
        <f>IF(D1906="","",VLOOKUP(D1906,Compte!$A$3:$B$346,2,0))</f>
        <v/>
      </c>
    </row>
    <row r="1907" spans="1:9">
      <c r="A1907" s="1206"/>
      <c r="B1907" s="606"/>
      <c r="C1907" s="1046"/>
      <c r="D1907" s="1048"/>
      <c r="E1907" s="1068"/>
      <c r="F1907" s="1044"/>
      <c r="G1907" s="1077">
        <f t="shared" si="29"/>
        <v>0</v>
      </c>
      <c r="H1907" s="1042" t="str">
        <f>IF(C1907="","",VLOOKUP(C1907,Compte!$A$3:$B$346,2,0))</f>
        <v/>
      </c>
      <c r="I1907" s="1043" t="str">
        <f>IF(D1907="","",VLOOKUP(D1907,Compte!$A$3:$B$346,2,0))</f>
        <v/>
      </c>
    </row>
    <row r="1908" spans="1:9">
      <c r="A1908" s="1206"/>
      <c r="B1908" s="606"/>
      <c r="C1908" s="1046"/>
      <c r="D1908" s="1048"/>
      <c r="E1908" s="1068"/>
      <c r="F1908" s="1044"/>
      <c r="G1908" s="1077">
        <f t="shared" si="29"/>
        <v>0</v>
      </c>
      <c r="H1908" s="1042" t="str">
        <f>IF(C1908="","",VLOOKUP(C1908,Compte!$A$3:$B$346,2,0))</f>
        <v/>
      </c>
      <c r="I1908" s="1043" t="str">
        <f>IF(D1908="","",VLOOKUP(D1908,Compte!$A$3:$B$346,2,0))</f>
        <v/>
      </c>
    </row>
    <row r="1909" spans="1:9">
      <c r="A1909" s="1206"/>
      <c r="B1909" s="606"/>
      <c r="C1909" s="1046"/>
      <c r="D1909" s="1048"/>
      <c r="E1909" s="1068"/>
      <c r="F1909" s="1044"/>
      <c r="G1909" s="1077">
        <f t="shared" si="29"/>
        <v>0</v>
      </c>
      <c r="H1909" s="1042" t="str">
        <f>IF(C1909="","",VLOOKUP(C1909,Compte!$A$3:$B$346,2,0))</f>
        <v/>
      </c>
      <c r="I1909" s="1043" t="str">
        <f>IF(D1909="","",VLOOKUP(D1909,Compte!$A$3:$B$346,2,0))</f>
        <v/>
      </c>
    </row>
    <row r="1910" spans="1:9">
      <c r="A1910" s="1206"/>
      <c r="B1910" s="606"/>
      <c r="C1910" s="1046"/>
      <c r="D1910" s="1048"/>
      <c r="E1910" s="1068"/>
      <c r="F1910" s="1044"/>
      <c r="G1910" s="1077">
        <f t="shared" si="29"/>
        <v>0</v>
      </c>
      <c r="H1910" s="1042" t="str">
        <f>IF(C1910="","",VLOOKUP(C1910,Compte!$A$3:$B$346,2,0))</f>
        <v/>
      </c>
      <c r="I1910" s="1043" t="str">
        <f>IF(D1910="","",VLOOKUP(D1910,Compte!$A$3:$B$346,2,0))</f>
        <v/>
      </c>
    </row>
    <row r="1911" spans="1:9">
      <c r="A1911" s="1206"/>
      <c r="B1911" s="606"/>
      <c r="C1911" s="1046"/>
      <c r="D1911" s="1048"/>
      <c r="E1911" s="1068"/>
      <c r="F1911" s="1044"/>
      <c r="G1911" s="1077">
        <f t="shared" si="29"/>
        <v>0</v>
      </c>
      <c r="H1911" s="1042" t="str">
        <f>IF(C1911="","",VLOOKUP(C1911,Compte!$A$3:$B$346,2,0))</f>
        <v/>
      </c>
      <c r="I1911" s="1043" t="str">
        <f>IF(D1911="","",VLOOKUP(D1911,Compte!$A$3:$B$346,2,0))</f>
        <v/>
      </c>
    </row>
    <row r="1912" spans="1:9">
      <c r="A1912" s="1206"/>
      <c r="B1912" s="606"/>
      <c r="C1912" s="1046"/>
      <c r="D1912" s="1048"/>
      <c r="E1912" s="1068"/>
      <c r="F1912" s="1044"/>
      <c r="G1912" s="1077">
        <f t="shared" si="29"/>
        <v>0</v>
      </c>
      <c r="H1912" s="1042" t="str">
        <f>IF(C1912="","",VLOOKUP(C1912,Compte!$A$3:$B$346,2,0))</f>
        <v/>
      </c>
      <c r="I1912" s="1043" t="str">
        <f>IF(D1912="","",VLOOKUP(D1912,Compte!$A$3:$B$346,2,0))</f>
        <v/>
      </c>
    </row>
    <row r="1913" spans="1:9">
      <c r="A1913" s="1206"/>
      <c r="B1913" s="606"/>
      <c r="C1913" s="1046"/>
      <c r="D1913" s="1048"/>
      <c r="E1913" s="1068"/>
      <c r="F1913" s="1044"/>
      <c r="G1913" s="1077">
        <f t="shared" si="29"/>
        <v>0</v>
      </c>
      <c r="H1913" s="1042" t="str">
        <f>IF(C1913="","",VLOOKUP(C1913,Compte!$A$3:$B$346,2,0))</f>
        <v/>
      </c>
      <c r="I1913" s="1043" t="str">
        <f>IF(D1913="","",VLOOKUP(D1913,Compte!$A$3:$B$346,2,0))</f>
        <v/>
      </c>
    </row>
    <row r="1914" spans="1:9">
      <c r="A1914" s="1206"/>
      <c r="B1914" s="606"/>
      <c r="C1914" s="1046"/>
      <c r="D1914" s="1048"/>
      <c r="E1914" s="1068"/>
      <c r="F1914" s="1044"/>
      <c r="G1914" s="1077">
        <f t="shared" si="29"/>
        <v>0</v>
      </c>
      <c r="H1914" s="1042" t="str">
        <f>IF(C1914="","",VLOOKUP(C1914,Compte!$A$3:$B$346,2,0))</f>
        <v/>
      </c>
      <c r="I1914" s="1043" t="str">
        <f>IF(D1914="","",VLOOKUP(D1914,Compte!$A$3:$B$346,2,0))</f>
        <v/>
      </c>
    </row>
    <row r="1915" spans="1:9">
      <c r="A1915" s="1206"/>
      <c r="B1915" s="606"/>
      <c r="C1915" s="1046"/>
      <c r="D1915" s="1048"/>
      <c r="E1915" s="1068"/>
      <c r="F1915" s="1044"/>
      <c r="G1915" s="1077">
        <f t="shared" si="29"/>
        <v>0</v>
      </c>
      <c r="H1915" s="1042" t="str">
        <f>IF(C1915="","",VLOOKUP(C1915,Compte!$A$3:$B$346,2,0))</f>
        <v/>
      </c>
      <c r="I1915" s="1043" t="str">
        <f>IF(D1915="","",VLOOKUP(D1915,Compte!$A$3:$B$346,2,0))</f>
        <v/>
      </c>
    </row>
    <row r="1916" spans="1:9">
      <c r="A1916" s="1206"/>
      <c r="B1916" s="606"/>
      <c r="C1916" s="1046"/>
      <c r="D1916" s="1048"/>
      <c r="E1916" s="1068"/>
      <c r="F1916" s="1044"/>
      <c r="G1916" s="1077">
        <f t="shared" si="29"/>
        <v>0</v>
      </c>
      <c r="H1916" s="1042" t="str">
        <f>IF(C1916="","",VLOOKUP(C1916,Compte!$A$3:$B$346,2,0))</f>
        <v/>
      </c>
      <c r="I1916" s="1043" t="str">
        <f>IF(D1916="","",VLOOKUP(D1916,Compte!$A$3:$B$346,2,0))</f>
        <v/>
      </c>
    </row>
    <row r="1917" spans="1:9">
      <c r="A1917" s="1206"/>
      <c r="B1917" s="606"/>
      <c r="C1917" s="1046"/>
      <c r="D1917" s="1048"/>
      <c r="E1917" s="1068"/>
      <c r="F1917" s="1044"/>
      <c r="G1917" s="1077">
        <f t="shared" si="29"/>
        <v>0</v>
      </c>
      <c r="H1917" s="1042" t="str">
        <f>IF(C1917="","",VLOOKUP(C1917,Compte!$A$3:$B$346,2,0))</f>
        <v/>
      </c>
      <c r="I1917" s="1043" t="str">
        <f>IF(D1917="","",VLOOKUP(D1917,Compte!$A$3:$B$346,2,0))</f>
        <v/>
      </c>
    </row>
    <row r="1918" spans="1:9">
      <c r="A1918" s="1206"/>
      <c r="B1918" s="606"/>
      <c r="C1918" s="1046"/>
      <c r="D1918" s="1048"/>
      <c r="E1918" s="1068"/>
      <c r="F1918" s="1044"/>
      <c r="G1918" s="1077">
        <f t="shared" si="29"/>
        <v>0</v>
      </c>
      <c r="H1918" s="1042" t="str">
        <f>IF(C1918="","",VLOOKUP(C1918,Compte!$A$3:$B$346,2,0))</f>
        <v/>
      </c>
      <c r="I1918" s="1043" t="str">
        <f>IF(D1918="","",VLOOKUP(D1918,Compte!$A$3:$B$346,2,0))</f>
        <v/>
      </c>
    </row>
    <row r="1919" spans="1:9">
      <c r="A1919" s="1206"/>
      <c r="B1919" s="606"/>
      <c r="C1919" s="1046"/>
      <c r="D1919" s="1048"/>
      <c r="E1919" s="1068"/>
      <c r="F1919" s="1044"/>
      <c r="G1919" s="1077">
        <f t="shared" si="29"/>
        <v>0</v>
      </c>
      <c r="H1919" s="1042" t="str">
        <f>IF(C1919="","",VLOOKUP(C1919,Compte!$A$3:$B$346,2,0))</f>
        <v/>
      </c>
      <c r="I1919" s="1043" t="str">
        <f>IF(D1919="","",VLOOKUP(D1919,Compte!$A$3:$B$346,2,0))</f>
        <v/>
      </c>
    </row>
    <row r="1920" spans="1:9">
      <c r="A1920" s="1206"/>
      <c r="B1920" s="606"/>
      <c r="C1920" s="1046"/>
      <c r="D1920" s="1048"/>
      <c r="E1920" s="1068"/>
      <c r="F1920" s="1044"/>
      <c r="G1920" s="1077">
        <f t="shared" si="29"/>
        <v>0</v>
      </c>
      <c r="H1920" s="1042" t="str">
        <f>IF(C1920="","",VLOOKUP(C1920,Compte!$A$3:$B$346,2,0))</f>
        <v/>
      </c>
      <c r="I1920" s="1043" t="str">
        <f>IF(D1920="","",VLOOKUP(D1920,Compte!$A$3:$B$346,2,0))</f>
        <v/>
      </c>
    </row>
    <row r="1921" spans="1:9">
      <c r="A1921" s="1206"/>
      <c r="B1921" s="606"/>
      <c r="C1921" s="1046"/>
      <c r="D1921" s="1048"/>
      <c r="E1921" s="1068"/>
      <c r="F1921" s="1044"/>
      <c r="G1921" s="1077">
        <f t="shared" si="29"/>
        <v>0</v>
      </c>
      <c r="H1921" s="1042" t="str">
        <f>IF(C1921="","",VLOOKUP(C1921,Compte!$A$3:$B$346,2,0))</f>
        <v/>
      </c>
      <c r="I1921" s="1043" t="str">
        <f>IF(D1921="","",VLOOKUP(D1921,Compte!$A$3:$B$346,2,0))</f>
        <v/>
      </c>
    </row>
    <row r="1922" spans="1:9">
      <c r="A1922" s="1206"/>
      <c r="B1922" s="606"/>
      <c r="C1922" s="1046"/>
      <c r="D1922" s="1048"/>
      <c r="E1922" s="1068"/>
      <c r="F1922" s="1044"/>
      <c r="G1922" s="1077">
        <f t="shared" si="29"/>
        <v>0</v>
      </c>
      <c r="H1922" s="1042" t="str">
        <f>IF(C1922="","",VLOOKUP(C1922,Compte!$A$3:$B$346,2,0))</f>
        <v/>
      </c>
      <c r="I1922" s="1043" t="str">
        <f>IF(D1922="","",VLOOKUP(D1922,Compte!$A$3:$B$346,2,0))</f>
        <v/>
      </c>
    </row>
    <row r="1923" spans="1:9">
      <c r="A1923" s="1206"/>
      <c r="B1923" s="606"/>
      <c r="C1923" s="1046"/>
      <c r="D1923" s="1048"/>
      <c r="E1923" s="1068"/>
      <c r="F1923" s="1044"/>
      <c r="G1923" s="1077">
        <f t="shared" si="29"/>
        <v>0</v>
      </c>
      <c r="H1923" s="1042" t="str">
        <f>IF(C1923="","",VLOOKUP(C1923,Compte!$A$3:$B$346,2,0))</f>
        <v/>
      </c>
      <c r="I1923" s="1043" t="str">
        <f>IF(D1923="","",VLOOKUP(D1923,Compte!$A$3:$B$346,2,0))</f>
        <v/>
      </c>
    </row>
    <row r="1924" spans="1:9">
      <c r="A1924" s="1206"/>
      <c r="B1924" s="606"/>
      <c r="C1924" s="1046"/>
      <c r="D1924" s="1048"/>
      <c r="E1924" s="1068"/>
      <c r="F1924" s="1044"/>
      <c r="G1924" s="1077">
        <f t="shared" si="29"/>
        <v>0</v>
      </c>
      <c r="H1924" s="1042" t="str">
        <f>IF(C1924="","",VLOOKUP(C1924,Compte!$A$3:$B$346,2,0))</f>
        <v/>
      </c>
      <c r="I1924" s="1043" t="str">
        <f>IF(D1924="","",VLOOKUP(D1924,Compte!$A$3:$B$346,2,0))</f>
        <v/>
      </c>
    </row>
    <row r="1925" spans="1:9">
      <c r="A1925" s="1206"/>
      <c r="B1925" s="606"/>
      <c r="C1925" s="1046"/>
      <c r="D1925" s="1048"/>
      <c r="E1925" s="1068"/>
      <c r="F1925" s="1044"/>
      <c r="G1925" s="1077">
        <f t="shared" si="29"/>
        <v>0</v>
      </c>
      <c r="H1925" s="1042" t="str">
        <f>IF(C1925="","",VLOOKUP(C1925,Compte!$A$3:$B$346,2,0))</f>
        <v/>
      </c>
      <c r="I1925" s="1043" t="str">
        <f>IF(D1925="","",VLOOKUP(D1925,Compte!$A$3:$B$346,2,0))</f>
        <v/>
      </c>
    </row>
    <row r="1926" spans="1:9">
      <c r="A1926" s="1206"/>
      <c r="B1926" s="606"/>
      <c r="C1926" s="1046"/>
      <c r="D1926" s="1048"/>
      <c r="E1926" s="1068"/>
      <c r="F1926" s="1044"/>
      <c r="G1926" s="1077">
        <f t="shared" si="29"/>
        <v>0</v>
      </c>
      <c r="H1926" s="1042" t="str">
        <f>IF(C1926="","",VLOOKUP(C1926,Compte!$A$3:$B$346,2,0))</f>
        <v/>
      </c>
      <c r="I1926" s="1043" t="str">
        <f>IF(D1926="","",VLOOKUP(D1926,Compte!$A$3:$B$346,2,0))</f>
        <v/>
      </c>
    </row>
    <row r="1927" spans="1:9">
      <c r="A1927" s="1206"/>
      <c r="B1927" s="606"/>
      <c r="C1927" s="1046"/>
      <c r="D1927" s="1048"/>
      <c r="E1927" s="1068"/>
      <c r="F1927" s="1044"/>
      <c r="G1927" s="1077">
        <f t="shared" si="29"/>
        <v>0</v>
      </c>
      <c r="H1927" s="1042" t="str">
        <f>IF(C1927="","",VLOOKUP(C1927,Compte!$A$3:$B$346,2,0))</f>
        <v/>
      </c>
      <c r="I1927" s="1043" t="str">
        <f>IF(D1927="","",VLOOKUP(D1927,Compte!$A$3:$B$346,2,0))</f>
        <v/>
      </c>
    </row>
    <row r="1928" spans="1:9">
      <c r="A1928" s="1206"/>
      <c r="B1928" s="606"/>
      <c r="C1928" s="1046"/>
      <c r="D1928" s="1048"/>
      <c r="E1928" s="1068"/>
      <c r="F1928" s="1044"/>
      <c r="G1928" s="1077">
        <f t="shared" ref="G1928:G1991" si="30">IF(C1928="",F1928,E1928)</f>
        <v>0</v>
      </c>
      <c r="H1928" s="1042" t="str">
        <f>IF(C1928="","",VLOOKUP(C1928,Compte!$A$3:$B$346,2,0))</f>
        <v/>
      </c>
      <c r="I1928" s="1043" t="str">
        <f>IF(D1928="","",VLOOKUP(D1928,Compte!$A$3:$B$346,2,0))</f>
        <v/>
      </c>
    </row>
    <row r="1929" spans="1:9">
      <c r="A1929" s="1206"/>
      <c r="B1929" s="606"/>
      <c r="C1929" s="1046"/>
      <c r="D1929" s="1048"/>
      <c r="E1929" s="1068"/>
      <c r="F1929" s="1044"/>
      <c r="G1929" s="1077">
        <f t="shared" si="30"/>
        <v>0</v>
      </c>
      <c r="H1929" s="1042" t="str">
        <f>IF(C1929="","",VLOOKUP(C1929,Compte!$A$3:$B$346,2,0))</f>
        <v/>
      </c>
      <c r="I1929" s="1043" t="str">
        <f>IF(D1929="","",VLOOKUP(D1929,Compte!$A$3:$B$346,2,0))</f>
        <v/>
      </c>
    </row>
    <row r="1930" spans="1:9">
      <c r="A1930" s="1206"/>
      <c r="B1930" s="606"/>
      <c r="C1930" s="1046"/>
      <c r="D1930" s="1048"/>
      <c r="E1930" s="1068"/>
      <c r="F1930" s="1044"/>
      <c r="G1930" s="1077">
        <f t="shared" si="30"/>
        <v>0</v>
      </c>
      <c r="H1930" s="1042" t="str">
        <f>IF(C1930="","",VLOOKUP(C1930,Compte!$A$3:$B$346,2,0))</f>
        <v/>
      </c>
      <c r="I1930" s="1043" t="str">
        <f>IF(D1930="","",VLOOKUP(D1930,Compte!$A$3:$B$346,2,0))</f>
        <v/>
      </c>
    </row>
    <row r="1931" spans="1:9">
      <c r="A1931" s="1206"/>
      <c r="B1931" s="606"/>
      <c r="C1931" s="1046"/>
      <c r="D1931" s="1048"/>
      <c r="E1931" s="1068"/>
      <c r="F1931" s="1044"/>
      <c r="G1931" s="1077">
        <f t="shared" si="30"/>
        <v>0</v>
      </c>
      <c r="H1931" s="1042" t="str">
        <f>IF(C1931="","",VLOOKUP(C1931,Compte!$A$3:$B$346,2,0))</f>
        <v/>
      </c>
      <c r="I1931" s="1043" t="str">
        <f>IF(D1931="","",VLOOKUP(D1931,Compte!$A$3:$B$346,2,0))</f>
        <v/>
      </c>
    </row>
    <row r="1932" spans="1:9">
      <c r="A1932" s="1206"/>
      <c r="B1932" s="606"/>
      <c r="C1932" s="1046"/>
      <c r="D1932" s="1048"/>
      <c r="E1932" s="1068"/>
      <c r="F1932" s="1044"/>
      <c r="G1932" s="1077">
        <f t="shared" si="30"/>
        <v>0</v>
      </c>
      <c r="H1932" s="1042" t="str">
        <f>IF(C1932="","",VLOOKUP(C1932,Compte!$A$3:$B$346,2,0))</f>
        <v/>
      </c>
      <c r="I1932" s="1043" t="str">
        <f>IF(D1932="","",VLOOKUP(D1932,Compte!$A$3:$B$346,2,0))</f>
        <v/>
      </c>
    </row>
    <row r="1933" spans="1:9">
      <c r="A1933" s="1206"/>
      <c r="B1933" s="606"/>
      <c r="C1933" s="1046"/>
      <c r="D1933" s="1048"/>
      <c r="E1933" s="1068"/>
      <c r="F1933" s="1044"/>
      <c r="G1933" s="1077">
        <f t="shared" si="30"/>
        <v>0</v>
      </c>
      <c r="H1933" s="1042" t="str">
        <f>IF(C1933="","",VLOOKUP(C1933,Compte!$A$3:$B$346,2,0))</f>
        <v/>
      </c>
      <c r="I1933" s="1043" t="str">
        <f>IF(D1933="","",VLOOKUP(D1933,Compte!$A$3:$B$346,2,0))</f>
        <v/>
      </c>
    </row>
    <row r="1934" spans="1:9">
      <c r="A1934" s="1206"/>
      <c r="B1934" s="606"/>
      <c r="C1934" s="1046"/>
      <c r="D1934" s="1048"/>
      <c r="E1934" s="1068"/>
      <c r="F1934" s="1044"/>
      <c r="G1934" s="1077">
        <f t="shared" si="30"/>
        <v>0</v>
      </c>
      <c r="H1934" s="1042" t="str">
        <f>IF(C1934="","",VLOOKUP(C1934,Compte!$A$3:$B$346,2,0))</f>
        <v/>
      </c>
      <c r="I1934" s="1043" t="str">
        <f>IF(D1934="","",VLOOKUP(D1934,Compte!$A$3:$B$346,2,0))</f>
        <v/>
      </c>
    </row>
    <row r="1935" spans="1:9">
      <c r="A1935" s="1206"/>
      <c r="B1935" s="606"/>
      <c r="C1935" s="1046"/>
      <c r="D1935" s="1048"/>
      <c r="E1935" s="1068"/>
      <c r="F1935" s="1044"/>
      <c r="G1935" s="1077">
        <f t="shared" si="30"/>
        <v>0</v>
      </c>
      <c r="H1935" s="1042" t="str">
        <f>IF(C1935="","",VLOOKUP(C1935,Compte!$A$3:$B$346,2,0))</f>
        <v/>
      </c>
      <c r="I1935" s="1043" t="str">
        <f>IF(D1935="","",VLOOKUP(D1935,Compte!$A$3:$B$346,2,0))</f>
        <v/>
      </c>
    </row>
    <row r="1936" spans="1:9">
      <c r="A1936" s="1206"/>
      <c r="B1936" s="606"/>
      <c r="C1936" s="1046"/>
      <c r="D1936" s="1048"/>
      <c r="E1936" s="1068"/>
      <c r="F1936" s="1044"/>
      <c r="G1936" s="1077">
        <f t="shared" si="30"/>
        <v>0</v>
      </c>
      <c r="H1936" s="1042" t="str">
        <f>IF(C1936="","",VLOOKUP(C1936,Compte!$A$3:$B$346,2,0))</f>
        <v/>
      </c>
      <c r="I1936" s="1043" t="str">
        <f>IF(D1936="","",VLOOKUP(D1936,Compte!$A$3:$B$346,2,0))</f>
        <v/>
      </c>
    </row>
    <row r="1937" spans="1:9">
      <c r="A1937" s="1206"/>
      <c r="B1937" s="606"/>
      <c r="C1937" s="1046"/>
      <c r="D1937" s="1048"/>
      <c r="E1937" s="1068"/>
      <c r="F1937" s="1044"/>
      <c r="G1937" s="1077">
        <f t="shared" si="30"/>
        <v>0</v>
      </c>
      <c r="H1937" s="1042" t="str">
        <f>IF(C1937="","",VLOOKUP(C1937,Compte!$A$3:$B$346,2,0))</f>
        <v/>
      </c>
      <c r="I1937" s="1043" t="str">
        <f>IF(D1937="","",VLOOKUP(D1937,Compte!$A$3:$B$346,2,0))</f>
        <v/>
      </c>
    </row>
    <row r="1938" spans="1:9">
      <c r="A1938" s="1206"/>
      <c r="B1938" s="606"/>
      <c r="C1938" s="1046"/>
      <c r="D1938" s="1048"/>
      <c r="E1938" s="1068"/>
      <c r="F1938" s="1044"/>
      <c r="G1938" s="1077">
        <f t="shared" si="30"/>
        <v>0</v>
      </c>
      <c r="H1938" s="1042" t="str">
        <f>IF(C1938="","",VLOOKUP(C1938,Compte!$A$3:$B$346,2,0))</f>
        <v/>
      </c>
      <c r="I1938" s="1043" t="str">
        <f>IF(D1938="","",VLOOKUP(D1938,Compte!$A$3:$B$346,2,0))</f>
        <v/>
      </c>
    </row>
    <row r="1939" spans="1:9">
      <c r="A1939" s="1206"/>
      <c r="B1939" s="606"/>
      <c r="C1939" s="1046"/>
      <c r="D1939" s="1048"/>
      <c r="E1939" s="1068"/>
      <c r="F1939" s="1044"/>
      <c r="G1939" s="1077">
        <f t="shared" si="30"/>
        <v>0</v>
      </c>
      <c r="H1939" s="1042" t="str">
        <f>IF(C1939="","",VLOOKUP(C1939,Compte!$A$3:$B$346,2,0))</f>
        <v/>
      </c>
      <c r="I1939" s="1043" t="str">
        <f>IF(D1939="","",VLOOKUP(D1939,Compte!$A$3:$B$346,2,0))</f>
        <v/>
      </c>
    </row>
    <row r="1940" spans="1:9">
      <c r="A1940" s="1206"/>
      <c r="B1940" s="606"/>
      <c r="C1940" s="1046"/>
      <c r="D1940" s="1048"/>
      <c r="E1940" s="1068"/>
      <c r="F1940" s="1044"/>
      <c r="G1940" s="1077">
        <f t="shared" si="30"/>
        <v>0</v>
      </c>
      <c r="H1940" s="1042" t="str">
        <f>IF(C1940="","",VLOOKUP(C1940,Compte!$A$3:$B$346,2,0))</f>
        <v/>
      </c>
      <c r="I1940" s="1043" t="str">
        <f>IF(D1940="","",VLOOKUP(D1940,Compte!$A$3:$B$346,2,0))</f>
        <v/>
      </c>
    </row>
    <row r="1941" spans="1:9">
      <c r="A1941" s="1206"/>
      <c r="B1941" s="606"/>
      <c r="C1941" s="1046"/>
      <c r="D1941" s="1048"/>
      <c r="E1941" s="1068"/>
      <c r="F1941" s="1044"/>
      <c r="G1941" s="1077">
        <f t="shared" si="30"/>
        <v>0</v>
      </c>
      <c r="H1941" s="1042" t="str">
        <f>IF(C1941="","",VLOOKUP(C1941,Compte!$A$3:$B$346,2,0))</f>
        <v/>
      </c>
      <c r="I1941" s="1043" t="str">
        <f>IF(D1941="","",VLOOKUP(D1941,Compte!$A$3:$B$346,2,0))</f>
        <v/>
      </c>
    </row>
    <row r="1942" spans="1:9">
      <c r="A1942" s="1206"/>
      <c r="B1942" s="606"/>
      <c r="C1942" s="1046"/>
      <c r="D1942" s="1048"/>
      <c r="E1942" s="1068"/>
      <c r="F1942" s="1044"/>
      <c r="G1942" s="1077">
        <f t="shared" si="30"/>
        <v>0</v>
      </c>
      <c r="H1942" s="1042" t="str">
        <f>IF(C1942="","",VLOOKUP(C1942,Compte!$A$3:$B$346,2,0))</f>
        <v/>
      </c>
      <c r="I1942" s="1043" t="str">
        <f>IF(D1942="","",VLOOKUP(D1942,Compte!$A$3:$B$346,2,0))</f>
        <v/>
      </c>
    </row>
    <row r="1943" spans="1:9">
      <c r="A1943" s="1206"/>
      <c r="B1943" s="606"/>
      <c r="C1943" s="1046"/>
      <c r="D1943" s="1048"/>
      <c r="E1943" s="1068"/>
      <c r="F1943" s="1044"/>
      <c r="G1943" s="1077">
        <f t="shared" si="30"/>
        <v>0</v>
      </c>
      <c r="H1943" s="1042" t="str">
        <f>IF(C1943="","",VLOOKUP(C1943,Compte!$A$3:$B$346,2,0))</f>
        <v/>
      </c>
      <c r="I1943" s="1043" t="str">
        <f>IF(D1943="","",VLOOKUP(D1943,Compte!$A$3:$B$346,2,0))</f>
        <v/>
      </c>
    </row>
    <row r="1944" spans="1:9">
      <c r="A1944" s="1206"/>
      <c r="B1944" s="606"/>
      <c r="C1944" s="1046"/>
      <c r="D1944" s="1048"/>
      <c r="E1944" s="1068"/>
      <c r="F1944" s="1044"/>
      <c r="G1944" s="1077">
        <f t="shared" si="30"/>
        <v>0</v>
      </c>
      <c r="H1944" s="1042" t="str">
        <f>IF(C1944="","",VLOOKUP(C1944,Compte!$A$3:$B$346,2,0))</f>
        <v/>
      </c>
      <c r="I1944" s="1043" t="str">
        <f>IF(D1944="","",VLOOKUP(D1944,Compte!$A$3:$B$346,2,0))</f>
        <v/>
      </c>
    </row>
    <row r="1945" spans="1:9">
      <c r="A1945" s="1206"/>
      <c r="B1945" s="606"/>
      <c r="C1945" s="1046"/>
      <c r="D1945" s="1048"/>
      <c r="E1945" s="1068"/>
      <c r="F1945" s="1044"/>
      <c r="G1945" s="1077">
        <f t="shared" si="30"/>
        <v>0</v>
      </c>
      <c r="H1945" s="1042" t="str">
        <f>IF(C1945="","",VLOOKUP(C1945,Compte!$A$3:$B$346,2,0))</f>
        <v/>
      </c>
      <c r="I1945" s="1043" t="str">
        <f>IF(D1945="","",VLOOKUP(D1945,Compte!$A$3:$B$346,2,0))</f>
        <v/>
      </c>
    </row>
    <row r="1946" spans="1:9">
      <c r="A1946" s="1206"/>
      <c r="B1946" s="606"/>
      <c r="C1946" s="1046"/>
      <c r="D1946" s="1048"/>
      <c r="E1946" s="1068"/>
      <c r="F1946" s="1044"/>
      <c r="G1946" s="1077">
        <f t="shared" si="30"/>
        <v>0</v>
      </c>
      <c r="H1946" s="1042" t="str">
        <f>IF(C1946="","",VLOOKUP(C1946,Compte!$A$3:$B$346,2,0))</f>
        <v/>
      </c>
      <c r="I1946" s="1043" t="str">
        <f>IF(D1946="","",VLOOKUP(D1946,Compte!$A$3:$B$346,2,0))</f>
        <v/>
      </c>
    </row>
    <row r="1947" spans="1:9">
      <c r="A1947" s="1206"/>
      <c r="B1947" s="606"/>
      <c r="C1947" s="1046"/>
      <c r="D1947" s="1048"/>
      <c r="E1947" s="1068"/>
      <c r="F1947" s="1044"/>
      <c r="G1947" s="1077">
        <f t="shared" si="30"/>
        <v>0</v>
      </c>
      <c r="H1947" s="1042" t="str">
        <f>IF(C1947="","",VLOOKUP(C1947,Compte!$A$3:$B$346,2,0))</f>
        <v/>
      </c>
      <c r="I1947" s="1043" t="str">
        <f>IF(D1947="","",VLOOKUP(D1947,Compte!$A$3:$B$346,2,0))</f>
        <v/>
      </c>
    </row>
    <row r="1948" spans="1:9">
      <c r="A1948" s="1206"/>
      <c r="B1948" s="606"/>
      <c r="C1948" s="1046"/>
      <c r="D1948" s="1048"/>
      <c r="E1948" s="1068"/>
      <c r="F1948" s="1044"/>
      <c r="G1948" s="1077">
        <f t="shared" si="30"/>
        <v>0</v>
      </c>
      <c r="H1948" s="1042" t="str">
        <f>IF(C1948="","",VLOOKUP(C1948,Compte!$A$3:$B$346,2,0))</f>
        <v/>
      </c>
      <c r="I1948" s="1043" t="str">
        <f>IF(D1948="","",VLOOKUP(D1948,Compte!$A$3:$B$346,2,0))</f>
        <v/>
      </c>
    </row>
    <row r="1949" spans="1:9">
      <c r="A1949" s="1206"/>
      <c r="B1949" s="606"/>
      <c r="C1949" s="1046"/>
      <c r="D1949" s="1048"/>
      <c r="E1949" s="1068"/>
      <c r="F1949" s="1044"/>
      <c r="G1949" s="1077">
        <f t="shared" si="30"/>
        <v>0</v>
      </c>
      <c r="H1949" s="1042" t="str">
        <f>IF(C1949="","",VLOOKUP(C1949,Compte!$A$3:$B$346,2,0))</f>
        <v/>
      </c>
      <c r="I1949" s="1043" t="str">
        <f>IF(D1949="","",VLOOKUP(D1949,Compte!$A$3:$B$346,2,0))</f>
        <v/>
      </c>
    </row>
    <row r="1950" spans="1:9">
      <c r="A1950" s="1206"/>
      <c r="B1950" s="606"/>
      <c r="C1950" s="1046"/>
      <c r="D1950" s="1048"/>
      <c r="E1950" s="1068"/>
      <c r="F1950" s="1044"/>
      <c r="G1950" s="1077">
        <f t="shared" si="30"/>
        <v>0</v>
      </c>
      <c r="H1950" s="1042" t="str">
        <f>IF(C1950="","",VLOOKUP(C1950,Compte!$A$3:$B$346,2,0))</f>
        <v/>
      </c>
      <c r="I1950" s="1043" t="str">
        <f>IF(D1950="","",VLOOKUP(D1950,Compte!$A$3:$B$346,2,0))</f>
        <v/>
      </c>
    </row>
    <row r="1951" spans="1:9">
      <c r="A1951" s="1206"/>
      <c r="B1951" s="606"/>
      <c r="C1951" s="1046"/>
      <c r="D1951" s="1048"/>
      <c r="E1951" s="1068"/>
      <c r="F1951" s="1044"/>
      <c r="G1951" s="1077">
        <f t="shared" si="30"/>
        <v>0</v>
      </c>
      <c r="H1951" s="1042" t="str">
        <f>IF(C1951="","",VLOOKUP(C1951,Compte!$A$3:$B$346,2,0))</f>
        <v/>
      </c>
      <c r="I1951" s="1043" t="str">
        <f>IF(D1951="","",VLOOKUP(D1951,Compte!$A$3:$B$346,2,0))</f>
        <v/>
      </c>
    </row>
    <row r="1952" spans="1:9">
      <c r="A1952" s="1206"/>
      <c r="B1952" s="606"/>
      <c r="C1952" s="1046"/>
      <c r="D1952" s="1048"/>
      <c r="E1952" s="1068"/>
      <c r="F1952" s="1044"/>
      <c r="G1952" s="1077">
        <f t="shared" si="30"/>
        <v>0</v>
      </c>
      <c r="H1952" s="1042" t="str">
        <f>IF(C1952="","",VLOOKUP(C1952,Compte!$A$3:$B$346,2,0))</f>
        <v/>
      </c>
      <c r="I1952" s="1043" t="str">
        <f>IF(D1952="","",VLOOKUP(D1952,Compte!$A$3:$B$346,2,0))</f>
        <v/>
      </c>
    </row>
    <row r="1953" spans="1:9">
      <c r="A1953" s="1206"/>
      <c r="B1953" s="606"/>
      <c r="C1953" s="1046"/>
      <c r="D1953" s="1048"/>
      <c r="E1953" s="1068"/>
      <c r="F1953" s="1044"/>
      <c r="G1953" s="1077">
        <f t="shared" si="30"/>
        <v>0</v>
      </c>
      <c r="H1953" s="1042" t="str">
        <f>IF(C1953="","",VLOOKUP(C1953,Compte!$A$3:$B$346,2,0))</f>
        <v/>
      </c>
      <c r="I1953" s="1043" t="str">
        <f>IF(D1953="","",VLOOKUP(D1953,Compte!$A$3:$B$346,2,0))</f>
        <v/>
      </c>
    </row>
    <row r="1954" spans="1:9">
      <c r="A1954" s="1206"/>
      <c r="B1954" s="606"/>
      <c r="C1954" s="1046"/>
      <c r="D1954" s="1048"/>
      <c r="E1954" s="1068"/>
      <c r="F1954" s="1044"/>
      <c r="G1954" s="1077">
        <f t="shared" si="30"/>
        <v>0</v>
      </c>
      <c r="H1954" s="1042" t="str">
        <f>IF(C1954="","",VLOOKUP(C1954,Compte!$A$3:$B$346,2,0))</f>
        <v/>
      </c>
      <c r="I1954" s="1043" t="str">
        <f>IF(D1954="","",VLOOKUP(D1954,Compte!$A$3:$B$346,2,0))</f>
        <v/>
      </c>
    </row>
    <row r="1955" spans="1:9">
      <c r="A1955" s="1206"/>
      <c r="B1955" s="606"/>
      <c r="C1955" s="1046"/>
      <c r="D1955" s="1048"/>
      <c r="E1955" s="1068"/>
      <c r="F1955" s="1044"/>
      <c r="G1955" s="1077">
        <f t="shared" si="30"/>
        <v>0</v>
      </c>
      <c r="H1955" s="1042" t="str">
        <f>IF(C1955="","",VLOOKUP(C1955,Compte!$A$3:$B$346,2,0))</f>
        <v/>
      </c>
      <c r="I1955" s="1043" t="str">
        <f>IF(D1955="","",VLOOKUP(D1955,Compte!$A$3:$B$346,2,0))</f>
        <v/>
      </c>
    </row>
    <row r="1956" spans="1:9">
      <c r="A1956" s="1206"/>
      <c r="B1956" s="606"/>
      <c r="C1956" s="1046"/>
      <c r="D1956" s="1048"/>
      <c r="E1956" s="1068"/>
      <c r="F1956" s="1044"/>
      <c r="G1956" s="1077">
        <f t="shared" si="30"/>
        <v>0</v>
      </c>
      <c r="H1956" s="1042" t="str">
        <f>IF(C1956="","",VLOOKUP(C1956,Compte!$A$3:$B$346,2,0))</f>
        <v/>
      </c>
      <c r="I1956" s="1043" t="str">
        <f>IF(D1956="","",VLOOKUP(D1956,Compte!$A$3:$B$346,2,0))</f>
        <v/>
      </c>
    </row>
    <row r="1957" spans="1:9">
      <c r="A1957" s="1206"/>
      <c r="B1957" s="606"/>
      <c r="C1957" s="1046"/>
      <c r="D1957" s="1048"/>
      <c r="E1957" s="1068"/>
      <c r="F1957" s="1044"/>
      <c r="G1957" s="1077">
        <f t="shared" si="30"/>
        <v>0</v>
      </c>
      <c r="H1957" s="1042" t="str">
        <f>IF(C1957="","",VLOOKUP(C1957,Compte!$A$3:$B$346,2,0))</f>
        <v/>
      </c>
      <c r="I1957" s="1043" t="str">
        <f>IF(D1957="","",VLOOKUP(D1957,Compte!$A$3:$B$346,2,0))</f>
        <v/>
      </c>
    </row>
    <row r="1958" spans="1:9">
      <c r="A1958" s="1206"/>
      <c r="B1958" s="606"/>
      <c r="C1958" s="1046"/>
      <c r="D1958" s="1048"/>
      <c r="E1958" s="1068"/>
      <c r="F1958" s="1044"/>
      <c r="G1958" s="1077">
        <f t="shared" si="30"/>
        <v>0</v>
      </c>
      <c r="H1958" s="1042" t="str">
        <f>IF(C1958="","",VLOOKUP(C1958,Compte!$A$3:$B$346,2,0))</f>
        <v/>
      </c>
      <c r="I1958" s="1043" t="str">
        <f>IF(D1958="","",VLOOKUP(D1958,Compte!$A$3:$B$346,2,0))</f>
        <v/>
      </c>
    </row>
    <row r="1959" spans="1:9">
      <c r="A1959" s="1206"/>
      <c r="B1959" s="606"/>
      <c r="C1959" s="1046"/>
      <c r="D1959" s="1048"/>
      <c r="E1959" s="1068"/>
      <c r="F1959" s="1044"/>
      <c r="G1959" s="1077">
        <f t="shared" si="30"/>
        <v>0</v>
      </c>
      <c r="H1959" s="1042" t="str">
        <f>IF(C1959="","",VLOOKUP(C1959,Compte!$A$3:$B$346,2,0))</f>
        <v/>
      </c>
      <c r="I1959" s="1043" t="str">
        <f>IF(D1959="","",VLOOKUP(D1959,Compte!$A$3:$B$346,2,0))</f>
        <v/>
      </c>
    </row>
    <row r="1960" spans="1:9">
      <c r="A1960" s="1206"/>
      <c r="B1960" s="606"/>
      <c r="C1960" s="1046"/>
      <c r="D1960" s="1048"/>
      <c r="E1960" s="1068"/>
      <c r="F1960" s="1044"/>
      <c r="G1960" s="1077">
        <f t="shared" si="30"/>
        <v>0</v>
      </c>
      <c r="H1960" s="1042" t="str">
        <f>IF(C1960="","",VLOOKUP(C1960,Compte!$A$3:$B$346,2,0))</f>
        <v/>
      </c>
      <c r="I1960" s="1043" t="str">
        <f>IF(D1960="","",VLOOKUP(D1960,Compte!$A$3:$B$346,2,0))</f>
        <v/>
      </c>
    </row>
    <row r="1961" spans="1:9">
      <c r="A1961" s="1206"/>
      <c r="B1961" s="606"/>
      <c r="C1961" s="1046"/>
      <c r="D1961" s="1048"/>
      <c r="E1961" s="1068"/>
      <c r="F1961" s="1044"/>
      <c r="G1961" s="1077">
        <f t="shared" si="30"/>
        <v>0</v>
      </c>
      <c r="H1961" s="1042" t="str">
        <f>IF(C1961="","",VLOOKUP(C1961,Compte!$A$3:$B$346,2,0))</f>
        <v/>
      </c>
      <c r="I1961" s="1043" t="str">
        <f>IF(D1961="","",VLOOKUP(D1961,Compte!$A$3:$B$346,2,0))</f>
        <v/>
      </c>
    </row>
    <row r="1962" spans="1:9">
      <c r="A1962" s="1206"/>
      <c r="B1962" s="606"/>
      <c r="C1962" s="1046"/>
      <c r="D1962" s="1048"/>
      <c r="E1962" s="1068"/>
      <c r="F1962" s="1044"/>
      <c r="G1962" s="1077">
        <f t="shared" si="30"/>
        <v>0</v>
      </c>
      <c r="H1962" s="1042" t="str">
        <f>IF(C1962="","",VLOOKUP(C1962,Compte!$A$3:$B$346,2,0))</f>
        <v/>
      </c>
      <c r="I1962" s="1043" t="str">
        <f>IF(D1962="","",VLOOKUP(D1962,Compte!$A$3:$B$346,2,0))</f>
        <v/>
      </c>
    </row>
    <row r="1963" spans="1:9">
      <c r="A1963" s="1206"/>
      <c r="B1963" s="606"/>
      <c r="C1963" s="1046"/>
      <c r="D1963" s="1048"/>
      <c r="E1963" s="1068"/>
      <c r="F1963" s="1044"/>
      <c r="G1963" s="1077">
        <f t="shared" si="30"/>
        <v>0</v>
      </c>
      <c r="H1963" s="1042" t="str">
        <f>IF(C1963="","",VLOOKUP(C1963,Compte!$A$3:$B$346,2,0))</f>
        <v/>
      </c>
      <c r="I1963" s="1043" t="str">
        <f>IF(D1963="","",VLOOKUP(D1963,Compte!$A$3:$B$346,2,0))</f>
        <v/>
      </c>
    </row>
    <row r="1964" spans="1:9">
      <c r="A1964" s="1206"/>
      <c r="B1964" s="606"/>
      <c r="C1964" s="1046"/>
      <c r="D1964" s="1048"/>
      <c r="E1964" s="1068"/>
      <c r="F1964" s="1044"/>
      <c r="G1964" s="1077">
        <f t="shared" si="30"/>
        <v>0</v>
      </c>
      <c r="H1964" s="1042" t="str">
        <f>IF(C1964="","",VLOOKUP(C1964,Compte!$A$3:$B$346,2,0))</f>
        <v/>
      </c>
      <c r="I1964" s="1043" t="str">
        <f>IF(D1964="","",VLOOKUP(D1964,Compte!$A$3:$B$346,2,0))</f>
        <v/>
      </c>
    </row>
    <row r="1965" spans="1:9">
      <c r="A1965" s="1206"/>
      <c r="B1965" s="606"/>
      <c r="C1965" s="1046"/>
      <c r="D1965" s="1048"/>
      <c r="E1965" s="1068"/>
      <c r="F1965" s="1044"/>
      <c r="G1965" s="1077">
        <f t="shared" si="30"/>
        <v>0</v>
      </c>
      <c r="H1965" s="1042" t="str">
        <f>IF(C1965="","",VLOOKUP(C1965,Compte!$A$3:$B$346,2,0))</f>
        <v/>
      </c>
      <c r="I1965" s="1043" t="str">
        <f>IF(D1965="","",VLOOKUP(D1965,Compte!$A$3:$B$346,2,0))</f>
        <v/>
      </c>
    </row>
    <row r="1966" spans="1:9">
      <c r="A1966" s="1206"/>
      <c r="B1966" s="606"/>
      <c r="C1966" s="1046"/>
      <c r="D1966" s="1048"/>
      <c r="E1966" s="1068"/>
      <c r="F1966" s="1044"/>
      <c r="G1966" s="1077">
        <f t="shared" si="30"/>
        <v>0</v>
      </c>
      <c r="H1966" s="1042" t="str">
        <f>IF(C1966="","",VLOOKUP(C1966,Compte!$A$3:$B$346,2,0))</f>
        <v/>
      </c>
      <c r="I1966" s="1043" t="str">
        <f>IF(D1966="","",VLOOKUP(D1966,Compte!$A$3:$B$346,2,0))</f>
        <v/>
      </c>
    </row>
    <row r="1967" spans="1:9">
      <c r="A1967" s="1206"/>
      <c r="B1967" s="606"/>
      <c r="C1967" s="1046"/>
      <c r="D1967" s="1048"/>
      <c r="E1967" s="1068"/>
      <c r="F1967" s="1044"/>
      <c r="G1967" s="1077">
        <f t="shared" si="30"/>
        <v>0</v>
      </c>
      <c r="H1967" s="1042" t="str">
        <f>IF(C1967="","",VLOOKUP(C1967,Compte!$A$3:$B$346,2,0))</f>
        <v/>
      </c>
      <c r="I1967" s="1043" t="str">
        <f>IF(D1967="","",VLOOKUP(D1967,Compte!$A$3:$B$346,2,0))</f>
        <v/>
      </c>
    </row>
    <row r="1968" spans="1:9">
      <c r="A1968" s="1206"/>
      <c r="B1968" s="606"/>
      <c r="C1968" s="1046"/>
      <c r="D1968" s="1048"/>
      <c r="E1968" s="1068"/>
      <c r="F1968" s="1044"/>
      <c r="G1968" s="1077">
        <f t="shared" si="30"/>
        <v>0</v>
      </c>
      <c r="H1968" s="1042" t="str">
        <f>IF(C1968="","",VLOOKUP(C1968,Compte!$A$3:$B$346,2,0))</f>
        <v/>
      </c>
      <c r="I1968" s="1043" t="str">
        <f>IF(D1968="","",VLOOKUP(D1968,Compte!$A$3:$B$346,2,0))</f>
        <v/>
      </c>
    </row>
    <row r="1969" spans="1:9">
      <c r="A1969" s="1206"/>
      <c r="B1969" s="606"/>
      <c r="C1969" s="1046"/>
      <c r="D1969" s="1048"/>
      <c r="E1969" s="1068"/>
      <c r="F1969" s="1044"/>
      <c r="G1969" s="1077">
        <f t="shared" si="30"/>
        <v>0</v>
      </c>
      <c r="H1969" s="1042" t="str">
        <f>IF(C1969="","",VLOOKUP(C1969,Compte!$A$3:$B$346,2,0))</f>
        <v/>
      </c>
      <c r="I1969" s="1043" t="str">
        <f>IF(D1969="","",VLOOKUP(D1969,Compte!$A$3:$B$346,2,0))</f>
        <v/>
      </c>
    </row>
    <row r="1970" spans="1:9">
      <c r="A1970" s="1206"/>
      <c r="B1970" s="606"/>
      <c r="C1970" s="1046"/>
      <c r="D1970" s="1048"/>
      <c r="E1970" s="1068"/>
      <c r="F1970" s="1044"/>
      <c r="G1970" s="1077">
        <f t="shared" si="30"/>
        <v>0</v>
      </c>
      <c r="H1970" s="1042" t="str">
        <f>IF(C1970="","",VLOOKUP(C1970,Compte!$A$3:$B$346,2,0))</f>
        <v/>
      </c>
      <c r="I1970" s="1043" t="str">
        <f>IF(D1970="","",VLOOKUP(D1970,Compte!$A$3:$B$346,2,0))</f>
        <v/>
      </c>
    </row>
    <row r="1971" spans="1:9">
      <c r="A1971" s="1206"/>
      <c r="B1971" s="606"/>
      <c r="C1971" s="1046"/>
      <c r="D1971" s="1048"/>
      <c r="E1971" s="1068"/>
      <c r="F1971" s="1044"/>
      <c r="G1971" s="1077">
        <f t="shared" si="30"/>
        <v>0</v>
      </c>
      <c r="H1971" s="1042" t="str">
        <f>IF(C1971="","",VLOOKUP(C1971,Compte!$A$3:$B$346,2,0))</f>
        <v/>
      </c>
      <c r="I1971" s="1043" t="str">
        <f>IF(D1971="","",VLOOKUP(D1971,Compte!$A$3:$B$346,2,0))</f>
        <v/>
      </c>
    </row>
    <row r="1972" spans="1:9">
      <c r="A1972" s="1206"/>
      <c r="B1972" s="606"/>
      <c r="C1972" s="1046"/>
      <c r="D1972" s="1048"/>
      <c r="E1972" s="1068"/>
      <c r="F1972" s="1044"/>
      <c r="G1972" s="1077">
        <f t="shared" si="30"/>
        <v>0</v>
      </c>
      <c r="H1972" s="1042" t="str">
        <f>IF(C1972="","",VLOOKUP(C1972,Compte!$A$3:$B$346,2,0))</f>
        <v/>
      </c>
      <c r="I1972" s="1043" t="str">
        <f>IF(D1972="","",VLOOKUP(D1972,Compte!$A$3:$B$346,2,0))</f>
        <v/>
      </c>
    </row>
    <row r="1973" spans="1:9">
      <c r="A1973" s="1206"/>
      <c r="B1973" s="606"/>
      <c r="C1973" s="1046"/>
      <c r="D1973" s="1048"/>
      <c r="E1973" s="1068"/>
      <c r="F1973" s="1044"/>
      <c r="G1973" s="1077">
        <f t="shared" si="30"/>
        <v>0</v>
      </c>
      <c r="H1973" s="1042" t="str">
        <f>IF(C1973="","",VLOOKUP(C1973,Compte!$A$3:$B$346,2,0))</f>
        <v/>
      </c>
      <c r="I1973" s="1043" t="str">
        <f>IF(D1973="","",VLOOKUP(D1973,Compte!$A$3:$B$346,2,0))</f>
        <v/>
      </c>
    </row>
    <row r="1974" spans="1:9">
      <c r="A1974" s="1206"/>
      <c r="B1974" s="606"/>
      <c r="C1974" s="1046"/>
      <c r="D1974" s="1048"/>
      <c r="E1974" s="1068"/>
      <c r="F1974" s="1044"/>
      <c r="G1974" s="1077">
        <f t="shared" si="30"/>
        <v>0</v>
      </c>
      <c r="H1974" s="1042" t="str">
        <f>IF(C1974="","",VLOOKUP(C1974,Compte!$A$3:$B$346,2,0))</f>
        <v/>
      </c>
      <c r="I1974" s="1043" t="str">
        <f>IF(D1974="","",VLOOKUP(D1974,Compte!$A$3:$B$346,2,0))</f>
        <v/>
      </c>
    </row>
    <row r="1975" spans="1:9">
      <c r="A1975" s="1206"/>
      <c r="B1975" s="606"/>
      <c r="C1975" s="1046"/>
      <c r="D1975" s="1048"/>
      <c r="E1975" s="1068"/>
      <c r="F1975" s="1044"/>
      <c r="G1975" s="1077">
        <f t="shared" si="30"/>
        <v>0</v>
      </c>
      <c r="H1975" s="1042" t="str">
        <f>IF(C1975="","",VLOOKUP(C1975,Compte!$A$3:$B$346,2,0))</f>
        <v/>
      </c>
      <c r="I1975" s="1043" t="str">
        <f>IF(D1975="","",VLOOKUP(D1975,Compte!$A$3:$B$346,2,0))</f>
        <v/>
      </c>
    </row>
    <row r="1976" spans="1:9">
      <c r="A1976" s="1206"/>
      <c r="B1976" s="606"/>
      <c r="C1976" s="1046"/>
      <c r="D1976" s="1048"/>
      <c r="E1976" s="1068"/>
      <c r="F1976" s="1044"/>
      <c r="G1976" s="1077">
        <f t="shared" si="30"/>
        <v>0</v>
      </c>
      <c r="H1976" s="1042" t="str">
        <f>IF(C1976="","",VLOOKUP(C1976,Compte!$A$3:$B$346,2,0))</f>
        <v/>
      </c>
      <c r="I1976" s="1043" t="str">
        <f>IF(D1976="","",VLOOKUP(D1976,Compte!$A$3:$B$346,2,0))</f>
        <v/>
      </c>
    </row>
    <row r="1977" spans="1:9">
      <c r="A1977" s="1206"/>
      <c r="B1977" s="606"/>
      <c r="C1977" s="1046"/>
      <c r="D1977" s="1048"/>
      <c r="E1977" s="1068"/>
      <c r="F1977" s="1044"/>
      <c r="G1977" s="1077">
        <f t="shared" si="30"/>
        <v>0</v>
      </c>
      <c r="H1977" s="1042" t="str">
        <f>IF(C1977="","",VLOOKUP(C1977,Compte!$A$3:$B$346,2,0))</f>
        <v/>
      </c>
      <c r="I1977" s="1043" t="str">
        <f>IF(D1977="","",VLOOKUP(D1977,Compte!$A$3:$B$346,2,0))</f>
        <v/>
      </c>
    </row>
    <row r="1978" spans="1:9">
      <c r="A1978" s="1206"/>
      <c r="B1978" s="606"/>
      <c r="C1978" s="1046"/>
      <c r="D1978" s="1048"/>
      <c r="E1978" s="1068"/>
      <c r="F1978" s="1044"/>
      <c r="G1978" s="1077">
        <f t="shared" si="30"/>
        <v>0</v>
      </c>
      <c r="H1978" s="1042" t="str">
        <f>IF(C1978="","",VLOOKUP(C1978,Compte!$A$3:$B$346,2,0))</f>
        <v/>
      </c>
      <c r="I1978" s="1043" t="str">
        <f>IF(D1978="","",VLOOKUP(D1978,Compte!$A$3:$B$346,2,0))</f>
        <v/>
      </c>
    </row>
    <row r="1979" spans="1:9">
      <c r="A1979" s="1206"/>
      <c r="B1979" s="606"/>
      <c r="C1979" s="1046"/>
      <c r="D1979" s="1048"/>
      <c r="E1979" s="1068"/>
      <c r="F1979" s="1044"/>
      <c r="G1979" s="1077">
        <f t="shared" si="30"/>
        <v>0</v>
      </c>
      <c r="H1979" s="1042" t="str">
        <f>IF(C1979="","",VLOOKUP(C1979,Compte!$A$3:$B$346,2,0))</f>
        <v/>
      </c>
      <c r="I1979" s="1043" t="str">
        <f>IF(D1979="","",VLOOKUP(D1979,Compte!$A$3:$B$346,2,0))</f>
        <v/>
      </c>
    </row>
    <row r="1980" spans="1:9">
      <c r="A1980" s="1206"/>
      <c r="B1980" s="606"/>
      <c r="C1980" s="1046"/>
      <c r="D1980" s="1048"/>
      <c r="E1980" s="1068"/>
      <c r="F1980" s="1044"/>
      <c r="G1980" s="1077">
        <f t="shared" si="30"/>
        <v>0</v>
      </c>
      <c r="H1980" s="1042" t="str">
        <f>IF(C1980="","",VLOOKUP(C1980,Compte!$A$3:$B$346,2,0))</f>
        <v/>
      </c>
      <c r="I1980" s="1043" t="str">
        <f>IF(D1980="","",VLOOKUP(D1980,Compte!$A$3:$B$346,2,0))</f>
        <v/>
      </c>
    </row>
    <row r="1981" spans="1:9">
      <c r="A1981" s="1206"/>
      <c r="B1981" s="606"/>
      <c r="C1981" s="1046"/>
      <c r="D1981" s="1048"/>
      <c r="E1981" s="1068"/>
      <c r="F1981" s="1044"/>
      <c r="G1981" s="1077">
        <f t="shared" si="30"/>
        <v>0</v>
      </c>
      <c r="H1981" s="1042" t="str">
        <f>IF(C1981="","",VLOOKUP(C1981,Compte!$A$3:$B$346,2,0))</f>
        <v/>
      </c>
      <c r="I1981" s="1043" t="str">
        <f>IF(D1981="","",VLOOKUP(D1981,Compte!$A$3:$B$346,2,0))</f>
        <v/>
      </c>
    </row>
    <row r="1982" spans="1:9">
      <c r="A1982" s="1206"/>
      <c r="B1982" s="606"/>
      <c r="C1982" s="1046"/>
      <c r="D1982" s="1048"/>
      <c r="E1982" s="1068"/>
      <c r="F1982" s="1044"/>
      <c r="G1982" s="1077">
        <f t="shared" si="30"/>
        <v>0</v>
      </c>
      <c r="H1982" s="1042" t="str">
        <f>IF(C1982="","",VLOOKUP(C1982,Compte!$A$3:$B$346,2,0))</f>
        <v/>
      </c>
      <c r="I1982" s="1043" t="str">
        <f>IF(D1982="","",VLOOKUP(D1982,Compte!$A$3:$B$346,2,0))</f>
        <v/>
      </c>
    </row>
    <row r="1983" spans="1:9">
      <c r="A1983" s="1206"/>
      <c r="B1983" s="606"/>
      <c r="C1983" s="1046"/>
      <c r="D1983" s="1048"/>
      <c r="E1983" s="1068"/>
      <c r="F1983" s="1044"/>
      <c r="G1983" s="1077">
        <f t="shared" si="30"/>
        <v>0</v>
      </c>
      <c r="H1983" s="1042" t="str">
        <f>IF(C1983="","",VLOOKUP(C1983,Compte!$A$3:$B$346,2,0))</f>
        <v/>
      </c>
      <c r="I1983" s="1043" t="str">
        <f>IF(D1983="","",VLOOKUP(D1983,Compte!$A$3:$B$346,2,0))</f>
        <v/>
      </c>
    </row>
    <row r="1984" spans="1:9">
      <c r="A1984" s="1206"/>
      <c r="B1984" s="606"/>
      <c r="C1984" s="1046"/>
      <c r="D1984" s="1048"/>
      <c r="E1984" s="1068"/>
      <c r="F1984" s="1044"/>
      <c r="G1984" s="1077">
        <f t="shared" si="30"/>
        <v>0</v>
      </c>
      <c r="H1984" s="1042" t="str">
        <f>IF(C1984="","",VLOOKUP(C1984,Compte!$A$3:$B$346,2,0))</f>
        <v/>
      </c>
      <c r="I1984" s="1043" t="str">
        <f>IF(D1984="","",VLOOKUP(D1984,Compte!$A$3:$B$346,2,0))</f>
        <v/>
      </c>
    </row>
    <row r="1985" spans="1:9">
      <c r="A1985" s="1206"/>
      <c r="B1985" s="606"/>
      <c r="C1985" s="1046"/>
      <c r="D1985" s="1048"/>
      <c r="E1985" s="1068"/>
      <c r="F1985" s="1044"/>
      <c r="G1985" s="1077">
        <f t="shared" si="30"/>
        <v>0</v>
      </c>
      <c r="H1985" s="1042" t="str">
        <f>IF(C1985="","",VLOOKUP(C1985,Compte!$A$3:$B$346,2,0))</f>
        <v/>
      </c>
      <c r="I1985" s="1043" t="str">
        <f>IF(D1985="","",VLOOKUP(D1985,Compte!$A$3:$B$346,2,0))</f>
        <v/>
      </c>
    </row>
    <row r="1986" spans="1:9">
      <c r="A1986" s="1206"/>
      <c r="B1986" s="606"/>
      <c r="C1986" s="1046"/>
      <c r="D1986" s="1048"/>
      <c r="E1986" s="1068"/>
      <c r="F1986" s="1044"/>
      <c r="G1986" s="1077">
        <f t="shared" si="30"/>
        <v>0</v>
      </c>
      <c r="H1986" s="1042" t="str">
        <f>IF(C1986="","",VLOOKUP(C1986,Compte!$A$3:$B$346,2,0))</f>
        <v/>
      </c>
      <c r="I1986" s="1043" t="str">
        <f>IF(D1986="","",VLOOKUP(D1986,Compte!$A$3:$B$346,2,0))</f>
        <v/>
      </c>
    </row>
    <row r="1987" spans="1:9">
      <c r="A1987" s="1206"/>
      <c r="B1987" s="606"/>
      <c r="C1987" s="1046"/>
      <c r="D1987" s="1048"/>
      <c r="E1987" s="1068"/>
      <c r="F1987" s="1044"/>
      <c r="G1987" s="1077">
        <f t="shared" si="30"/>
        <v>0</v>
      </c>
      <c r="H1987" s="1042" t="str">
        <f>IF(C1987="","",VLOOKUP(C1987,Compte!$A$3:$B$346,2,0))</f>
        <v/>
      </c>
      <c r="I1987" s="1043" t="str">
        <f>IF(D1987="","",VLOOKUP(D1987,Compte!$A$3:$B$346,2,0))</f>
        <v/>
      </c>
    </row>
    <row r="1988" spans="1:9">
      <c r="A1988" s="1206"/>
      <c r="B1988" s="606"/>
      <c r="C1988" s="1046"/>
      <c r="D1988" s="1048"/>
      <c r="E1988" s="1068"/>
      <c r="F1988" s="1044"/>
      <c r="G1988" s="1077">
        <f t="shared" si="30"/>
        <v>0</v>
      </c>
      <c r="H1988" s="1042" t="str">
        <f>IF(C1988="","",VLOOKUP(C1988,Compte!$A$3:$B$346,2,0))</f>
        <v/>
      </c>
      <c r="I1988" s="1043" t="str">
        <f>IF(D1988="","",VLOOKUP(D1988,Compte!$A$3:$B$346,2,0))</f>
        <v/>
      </c>
    </row>
    <row r="1989" spans="1:9">
      <c r="A1989" s="1206"/>
      <c r="B1989" s="606"/>
      <c r="C1989" s="1046"/>
      <c r="D1989" s="1048"/>
      <c r="E1989" s="1068"/>
      <c r="F1989" s="1044"/>
      <c r="G1989" s="1077">
        <f t="shared" si="30"/>
        <v>0</v>
      </c>
      <c r="H1989" s="1042" t="str">
        <f>IF(C1989="","",VLOOKUP(C1989,Compte!$A$3:$B$346,2,0))</f>
        <v/>
      </c>
      <c r="I1989" s="1043" t="str">
        <f>IF(D1989="","",VLOOKUP(D1989,Compte!$A$3:$B$346,2,0))</f>
        <v/>
      </c>
    </row>
    <row r="1990" spans="1:9">
      <c r="A1990" s="1206"/>
      <c r="B1990" s="606"/>
      <c r="C1990" s="1046"/>
      <c r="D1990" s="1048"/>
      <c r="E1990" s="1068"/>
      <c r="F1990" s="1044"/>
      <c r="G1990" s="1077">
        <f t="shared" si="30"/>
        <v>0</v>
      </c>
      <c r="H1990" s="1042" t="str">
        <f>IF(C1990="","",VLOOKUP(C1990,Compte!$A$3:$B$346,2,0))</f>
        <v/>
      </c>
      <c r="I1990" s="1043" t="str">
        <f>IF(D1990="","",VLOOKUP(D1990,Compte!$A$3:$B$346,2,0))</f>
        <v/>
      </c>
    </row>
    <row r="1991" spans="1:9">
      <c r="A1991" s="1206"/>
      <c r="B1991" s="606"/>
      <c r="C1991" s="1046"/>
      <c r="D1991" s="1048"/>
      <c r="E1991" s="1068"/>
      <c r="F1991" s="1044"/>
      <c r="G1991" s="1077">
        <f t="shared" si="30"/>
        <v>0</v>
      </c>
      <c r="H1991" s="1042" t="str">
        <f>IF(C1991="","",VLOOKUP(C1991,Compte!$A$3:$B$346,2,0))</f>
        <v/>
      </c>
      <c r="I1991" s="1043" t="str">
        <f>IF(D1991="","",VLOOKUP(D1991,Compte!$A$3:$B$346,2,0))</f>
        <v/>
      </c>
    </row>
    <row r="1992" spans="1:9">
      <c r="A1992" s="1206"/>
      <c r="B1992" s="606"/>
      <c r="C1992" s="1046"/>
      <c r="D1992" s="1048"/>
      <c r="E1992" s="1068"/>
      <c r="F1992" s="1044"/>
      <c r="G1992" s="1077">
        <f t="shared" ref="G1992:G2000" si="31">IF(C1992="",F1992,E1992)</f>
        <v>0</v>
      </c>
      <c r="H1992" s="1042" t="str">
        <f>IF(C1992="","",VLOOKUP(C1992,Compte!$A$3:$B$346,2,0))</f>
        <v/>
      </c>
      <c r="I1992" s="1043" t="str">
        <f>IF(D1992="","",VLOOKUP(D1992,Compte!$A$3:$B$346,2,0))</f>
        <v/>
      </c>
    </row>
    <row r="1993" spans="1:9">
      <c r="A1993" s="1206"/>
      <c r="B1993" s="606"/>
      <c r="C1993" s="1046"/>
      <c r="D1993" s="1048"/>
      <c r="E1993" s="1068"/>
      <c r="F1993" s="1044"/>
      <c r="G1993" s="1077">
        <f t="shared" si="31"/>
        <v>0</v>
      </c>
      <c r="H1993" s="1042" t="str">
        <f>IF(C1993="","",VLOOKUP(C1993,Compte!$A$3:$B$346,2,0))</f>
        <v/>
      </c>
      <c r="I1993" s="1043" t="str">
        <f>IF(D1993="","",VLOOKUP(D1993,Compte!$A$3:$B$346,2,0))</f>
        <v/>
      </c>
    </row>
    <row r="1994" spans="1:9">
      <c r="A1994" s="1206"/>
      <c r="B1994" s="606"/>
      <c r="C1994" s="1046"/>
      <c r="D1994" s="1048"/>
      <c r="E1994" s="1068"/>
      <c r="F1994" s="1044"/>
      <c r="G1994" s="1077">
        <f t="shared" si="31"/>
        <v>0</v>
      </c>
      <c r="H1994" s="1042" t="str">
        <f>IF(C1994="","",VLOOKUP(C1994,Compte!$A$3:$B$346,2,0))</f>
        <v/>
      </c>
      <c r="I1994" s="1043" t="str">
        <f>IF(D1994="","",VLOOKUP(D1994,Compte!$A$3:$B$346,2,0))</f>
        <v/>
      </c>
    </row>
    <row r="1995" spans="1:9">
      <c r="A1995" s="1206"/>
      <c r="B1995" s="606"/>
      <c r="C1995" s="1046"/>
      <c r="D1995" s="1048"/>
      <c r="E1995" s="1068"/>
      <c r="F1995" s="1044"/>
      <c r="G1995" s="1077">
        <f t="shared" si="31"/>
        <v>0</v>
      </c>
      <c r="H1995" s="1042" t="str">
        <f>IF(C1995="","",VLOOKUP(C1995,Compte!$A$3:$B$346,2,0))</f>
        <v/>
      </c>
      <c r="I1995" s="1043" t="str">
        <f>IF(D1995="","",VLOOKUP(D1995,Compte!$A$3:$B$346,2,0))</f>
        <v/>
      </c>
    </row>
    <row r="1996" spans="1:9">
      <c r="A1996" s="1206"/>
      <c r="B1996" s="606"/>
      <c r="C1996" s="1046"/>
      <c r="D1996" s="1048"/>
      <c r="E1996" s="1068"/>
      <c r="F1996" s="1044"/>
      <c r="G1996" s="1077">
        <f t="shared" si="31"/>
        <v>0</v>
      </c>
      <c r="H1996" s="1042" t="str">
        <f>IF(C1996="","",VLOOKUP(C1996,Compte!$A$3:$B$346,2,0))</f>
        <v/>
      </c>
      <c r="I1996" s="1043" t="str">
        <f>IF(D1996="","",VLOOKUP(D1996,Compte!$A$3:$B$346,2,0))</f>
        <v/>
      </c>
    </row>
    <row r="1997" spans="1:9">
      <c r="A1997" s="1206"/>
      <c r="B1997" s="606"/>
      <c r="C1997" s="1046"/>
      <c r="D1997" s="1048"/>
      <c r="E1997" s="1068"/>
      <c r="F1997" s="1044"/>
      <c r="G1997" s="1077">
        <f t="shared" si="31"/>
        <v>0</v>
      </c>
      <c r="H1997" s="1042" t="str">
        <f>IF(C1997="","",VLOOKUP(C1997,Compte!$A$3:$B$346,2,0))</f>
        <v/>
      </c>
      <c r="I1997" s="1043" t="str">
        <f>IF(D1997="","",VLOOKUP(D1997,Compte!$A$3:$B$346,2,0))</f>
        <v/>
      </c>
    </row>
    <row r="1998" spans="1:9">
      <c r="A1998" s="1206"/>
      <c r="B1998" s="606"/>
      <c r="C1998" s="1046"/>
      <c r="D1998" s="1048"/>
      <c r="E1998" s="1068"/>
      <c r="F1998" s="1044"/>
      <c r="G1998" s="1077">
        <f t="shared" si="31"/>
        <v>0</v>
      </c>
      <c r="H1998" s="1042" t="str">
        <f>IF(C1998="","",VLOOKUP(C1998,Compte!$A$3:$B$346,2,0))</f>
        <v/>
      </c>
      <c r="I1998" s="1043" t="str">
        <f>IF(D1998="","",VLOOKUP(D1998,Compte!$A$3:$B$346,2,0))</f>
        <v/>
      </c>
    </row>
    <row r="1999" spans="1:9">
      <c r="A1999" s="1206"/>
      <c r="B1999" s="606"/>
      <c r="C1999" s="1046"/>
      <c r="D1999" s="1048"/>
      <c r="E1999" s="1068"/>
      <c r="F1999" s="1044"/>
      <c r="G1999" s="1077">
        <f t="shared" si="31"/>
        <v>0</v>
      </c>
      <c r="H1999" s="1042" t="str">
        <f>IF(C1999="","",VLOOKUP(C1999,Compte!$A$3:$B$346,2,0))</f>
        <v/>
      </c>
      <c r="I1999" s="1043" t="str">
        <f>IF(D1999="","",VLOOKUP(D1999,Compte!$A$3:$B$346,2,0))</f>
        <v/>
      </c>
    </row>
    <row r="2000" spans="1:9">
      <c r="A2000" s="1206"/>
      <c r="B2000" s="606"/>
      <c r="C2000" s="1046"/>
      <c r="D2000" s="1048"/>
      <c r="E2000" s="1068"/>
      <c r="F2000" s="1044"/>
      <c r="G2000" s="1077">
        <f t="shared" si="31"/>
        <v>0</v>
      </c>
      <c r="H2000" s="1042" t="str">
        <f>IF(C2000="","",VLOOKUP(C2000,Compte!$A$3:$B$346,2,0))</f>
        <v/>
      </c>
      <c r="I2000" s="1043" t="str">
        <f>IF(D2000="","",VLOOKUP(D2000,Compte!$A$3:$B$346,2,0))</f>
        <v/>
      </c>
    </row>
    <row r="2001" spans="1:9" ht="18.75">
      <c r="A2001" s="1212" t="s">
        <v>1599</v>
      </c>
      <c r="B2001" s="1208"/>
      <c r="C2001" s="1209"/>
      <c r="D2001" s="1209"/>
      <c r="E2001" s="1213">
        <f>SUM(E7:E2000)</f>
        <v>5129422</v>
      </c>
      <c r="F2001" s="1213">
        <f>SUM(F7:F2000)</f>
        <v>5129422</v>
      </c>
      <c r="G2001" s="1210">
        <f>E2001-F2001</f>
        <v>0</v>
      </c>
      <c r="H2001" s="1211" t="str">
        <f>IF(E2001=F2001,"Vos écritures sont correctes","Différences des soldes,veuillez équilibrer vos écritures")</f>
        <v>Vos écritures sont correctes</v>
      </c>
      <c r="I2001" s="1211"/>
    </row>
    <row r="2004" spans="1:9">
      <c r="G2004" s="522"/>
    </row>
  </sheetData>
  <sheetProtection selectLockedCells="1"/>
  <mergeCells count="1">
    <mergeCell ref="A2:D2"/>
  </mergeCells>
  <conditionalFormatting sqref="D3 F3 H3:I3">
    <cfRule type="expression" dxfId="0" priority="2" stopIfTrue="1">
      <formula>$J$3=1</formula>
    </cfRule>
  </conditionalFormatting>
  <dataValidations count="4">
    <dataValidation type="list" allowBlank="1" showInputMessage="1" showErrorMessage="1" sqref="A7:A2000">
      <formula1>Date</formula1>
    </dataValidation>
    <dataValidation type="list" allowBlank="1" showErrorMessage="1" error="Le compte n'appartient pas à la sélection, SVP." sqref="C531:D2000 C7:D510">
      <formula1>Compte</formula1>
    </dataValidation>
    <dataValidation type="list" allowBlank="1" sqref="I4">
      <formula1>"Taux"</formula1>
    </dataValidation>
    <dataValidation type="list" allowBlank="1" showInputMessage="1" showErrorMessage="1" sqref="B3">
      <formula1>Compte</formula1>
    </dataValidation>
  </dataValidation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sheetPr codeName="Feuil5"/>
  <dimension ref="A3:E386"/>
  <sheetViews>
    <sheetView workbookViewId="0">
      <pane ySplit="3" topLeftCell="A16" activePane="bottomLeft" state="frozen"/>
      <selection pane="bottomLeft" activeCell="D2" sqref="D2"/>
    </sheetView>
  </sheetViews>
  <sheetFormatPr baseColWidth="10" defaultRowHeight="15"/>
  <cols>
    <col min="1" max="1" width="9.7109375" style="678" customWidth="1"/>
    <col min="2" max="2" width="54.42578125" style="678" customWidth="1"/>
    <col min="3" max="3" width="22.42578125" style="678" customWidth="1"/>
    <col min="4" max="4" width="29.140625" style="678" customWidth="1"/>
    <col min="5" max="5" width="22.42578125" style="678" customWidth="1"/>
    <col min="6" max="16384" width="11.42578125" style="678"/>
  </cols>
  <sheetData>
    <row r="3" spans="1:5" ht="17.25">
      <c r="A3" s="675" t="s">
        <v>511</v>
      </c>
      <c r="B3" s="676" t="s">
        <v>512</v>
      </c>
      <c r="C3" s="677" t="s">
        <v>12</v>
      </c>
      <c r="D3" s="677" t="s">
        <v>13</v>
      </c>
      <c r="E3" s="677" t="s">
        <v>14</v>
      </c>
    </row>
    <row r="4" spans="1:5">
      <c r="A4" s="679">
        <f>Compte!A3</f>
        <v>101</v>
      </c>
      <c r="B4" s="679" t="str">
        <f>Compte!B3</f>
        <v>Capital Social</v>
      </c>
      <c r="C4" s="680">
        <f>SUMIF(Journal!$C$7:$C$2000,A4,Journal!$G$7:$G$2000)</f>
        <v>0</v>
      </c>
      <c r="D4" s="680">
        <f>SUMIF(Journal!$D$7:$D$2000,A4,Journal!$G$7:$G$2000)</f>
        <v>0</v>
      </c>
      <c r="E4" s="680">
        <f>C4-D4</f>
        <v>0</v>
      </c>
    </row>
    <row r="5" spans="1:5" ht="17.100000000000001" customHeight="1">
      <c r="A5" s="679" t="str">
        <f>Compte!A4</f>
        <v>1011</v>
      </c>
      <c r="B5" s="679" t="str">
        <f>Compte!B4</f>
        <v>Capital souscrit, non appelé</v>
      </c>
      <c r="C5" s="680">
        <f>SUMIF(Journal!$C$7:$C$2000,A5,Journal!$G$7:$G$2000)</f>
        <v>0</v>
      </c>
      <c r="D5" s="680">
        <f>SUMIF(Journal!$D$7:$D$2000,A5,Journal!$G$7:$G$2000)</f>
        <v>0</v>
      </c>
      <c r="E5" s="680">
        <f t="shared" ref="E5:E68" si="0">C5-D5</f>
        <v>0</v>
      </c>
    </row>
    <row r="6" spans="1:5">
      <c r="A6" s="679">
        <f>Compte!A5</f>
        <v>1012</v>
      </c>
      <c r="B6" s="679" t="str">
        <f>Compte!B5</f>
        <v>Capital souscrit, appelé, non versé</v>
      </c>
      <c r="C6" s="680">
        <f>SUMIF(Journal!$C$7:$C$2000,A6,Journal!$G$7:$G$2000)</f>
        <v>0</v>
      </c>
      <c r="D6" s="680">
        <f>SUMIF(Journal!$D$7:$D$2000,A6,Journal!$G$7:$G$2000)</f>
        <v>0</v>
      </c>
      <c r="E6" s="680">
        <f t="shared" si="0"/>
        <v>0</v>
      </c>
    </row>
    <row r="7" spans="1:5">
      <c r="A7" s="679">
        <f>Compte!A6</f>
        <v>1013</v>
      </c>
      <c r="B7" s="679" t="str">
        <f>Compte!B6</f>
        <v>Capital souscrit, appelé, versé, non amorti</v>
      </c>
      <c r="C7" s="680">
        <f>SUMIF(Journal!$C$7:$C$2000,A7,Journal!$G$7:$G$2000)</f>
        <v>0</v>
      </c>
      <c r="D7" s="680">
        <f>SUMIF(Journal!$D$7:$D$2000,A7,Journal!$G$7:$G$2000)</f>
        <v>0</v>
      </c>
      <c r="E7" s="680">
        <f t="shared" si="0"/>
        <v>0</v>
      </c>
    </row>
    <row r="8" spans="1:5">
      <c r="A8" s="679">
        <f>Compte!A7</f>
        <v>1020</v>
      </c>
      <c r="B8" s="679" t="str">
        <f>Compte!B7</f>
        <v>Capital par dotation</v>
      </c>
      <c r="C8" s="680">
        <f>SUMIF(Journal!$C$7:$C$2000,A8,Journal!$G$7:$G$2000)</f>
        <v>0</v>
      </c>
      <c r="D8" s="680">
        <f>SUMIF(Journal!$D$7:$D$2000,A8,Journal!$G$7:$G$2000)</f>
        <v>0</v>
      </c>
      <c r="E8" s="680">
        <f t="shared" si="0"/>
        <v>0</v>
      </c>
    </row>
    <row r="9" spans="1:5">
      <c r="A9" s="679">
        <f>Compte!A8</f>
        <v>103</v>
      </c>
      <c r="B9" s="679" t="str">
        <f>Compte!B8</f>
        <v>Capital personnel</v>
      </c>
      <c r="C9" s="680">
        <f>SUMIF(Journal!$C$7:$C$2000,A9,Journal!$G$7:$G$2000)</f>
        <v>0</v>
      </c>
      <c r="D9" s="680">
        <f>SUMIF(Journal!$D$7:$D$2000,A9,Journal!$G$7:$G$2000)</f>
        <v>0</v>
      </c>
      <c r="E9" s="680">
        <f t="shared" si="0"/>
        <v>0</v>
      </c>
    </row>
    <row r="10" spans="1:5">
      <c r="A10" s="679">
        <f>Compte!A9</f>
        <v>104</v>
      </c>
      <c r="B10" s="679" t="str">
        <f>Compte!B9</f>
        <v>Compte de l'exploitant ou privée</v>
      </c>
      <c r="C10" s="680">
        <f>SUMIF(Journal!$C$7:$C$2000,A10,Journal!$G$7:$G$2000)</f>
        <v>1400</v>
      </c>
      <c r="D10" s="680">
        <f>SUMIF(Journal!$D$7:$D$2000,A10,Journal!$G$7:$G$2000)</f>
        <v>0</v>
      </c>
      <c r="E10" s="680">
        <f t="shared" si="0"/>
        <v>1400</v>
      </c>
    </row>
    <row r="11" spans="1:5">
      <c r="A11" s="679">
        <f>Compte!A10</f>
        <v>1051</v>
      </c>
      <c r="B11" s="679" t="str">
        <f>Compte!B10</f>
        <v>Primes d'émission</v>
      </c>
      <c r="C11" s="680">
        <f>SUMIF(Journal!$C$7:$C$2000,A11,Journal!$G$7:$G$2000)</f>
        <v>0</v>
      </c>
      <c r="D11" s="680">
        <f>SUMIF(Journal!$D$7:$D$2000,A11,Journal!$G$7:$G$2000)</f>
        <v>0</v>
      </c>
      <c r="E11" s="680">
        <f t="shared" si="0"/>
        <v>0</v>
      </c>
    </row>
    <row r="12" spans="1:5">
      <c r="A12" s="679">
        <f>Compte!A11</f>
        <v>1052</v>
      </c>
      <c r="B12" s="679" t="str">
        <f>Compte!B11</f>
        <v>Primes d'apport</v>
      </c>
      <c r="C12" s="680">
        <f>SUMIF(Journal!$C$7:$C$2000,A12,Journal!$G$7:$G$2000)</f>
        <v>0</v>
      </c>
      <c r="D12" s="680">
        <f>SUMIF(Journal!$D$7:$D$2000,A12,Journal!$G$7:$G$2000)</f>
        <v>0</v>
      </c>
      <c r="E12" s="680">
        <f t="shared" si="0"/>
        <v>0</v>
      </c>
    </row>
    <row r="13" spans="1:5">
      <c r="A13" s="679">
        <f>Compte!A12</f>
        <v>1053</v>
      </c>
      <c r="B13" s="679" t="str">
        <f>Compte!B12</f>
        <v>Primes de fusion</v>
      </c>
      <c r="C13" s="680">
        <f>SUMIF(Journal!$C$7:$C$2000,A13,Journal!$G$7:$G$2000)</f>
        <v>0</v>
      </c>
      <c r="D13" s="680">
        <f>SUMIF(Journal!$D$7:$D$2000,A13,Journal!$G$7:$G$2000)</f>
        <v>0</v>
      </c>
      <c r="E13" s="680">
        <f t="shared" si="0"/>
        <v>0</v>
      </c>
    </row>
    <row r="14" spans="1:5">
      <c r="A14" s="679">
        <f>Compte!A13</f>
        <v>1054</v>
      </c>
      <c r="B14" s="679" t="str">
        <f>Compte!B13</f>
        <v>Primes de conversion</v>
      </c>
      <c r="C14" s="680">
        <f>SUMIF(Journal!$C$7:$C$2000,A14,Journal!$G$7:$G$2000)</f>
        <v>0</v>
      </c>
      <c r="D14" s="680">
        <f>SUMIF(Journal!$D$7:$D$2000,A14,Journal!$G$7:$G$2000)</f>
        <v>0</v>
      </c>
      <c r="E14" s="680">
        <f t="shared" si="0"/>
        <v>0</v>
      </c>
    </row>
    <row r="15" spans="1:5">
      <c r="A15" s="679">
        <f>Compte!A14</f>
        <v>1058</v>
      </c>
      <c r="B15" s="679" t="str">
        <f>Compte!B14</f>
        <v>Autres primes</v>
      </c>
      <c r="C15" s="680">
        <f>SUMIF(Journal!$C$7:$C$2000,A15,Journal!$G$7:$G$2000)</f>
        <v>0</v>
      </c>
      <c r="D15" s="680">
        <f>SUMIF(Journal!$D$7:$D$2000,A15,Journal!$G$7:$G$2000)</f>
        <v>0</v>
      </c>
      <c r="E15" s="680">
        <f t="shared" si="0"/>
        <v>0</v>
      </c>
    </row>
    <row r="16" spans="1:5">
      <c r="A16" s="679">
        <f>Compte!A15</f>
        <v>111</v>
      </c>
      <c r="B16" s="679" t="str">
        <f>Compte!B15</f>
        <v>Réserves légales</v>
      </c>
      <c r="C16" s="680">
        <f>SUMIF(Journal!$C$7:$C$2000,A16,Journal!$G$7:$G$2000)</f>
        <v>0</v>
      </c>
      <c r="D16" s="680">
        <f>SUMIF(Journal!$D$7:$D$2000,A16,Journal!$G$7:$G$2000)</f>
        <v>0</v>
      </c>
      <c r="E16" s="680">
        <f t="shared" si="0"/>
        <v>0</v>
      </c>
    </row>
    <row r="17" spans="1:5">
      <c r="A17" s="679">
        <f>Compte!A16</f>
        <v>112</v>
      </c>
      <c r="B17" s="679" t="str">
        <f>Compte!B16</f>
        <v>Réserves statutaires ou contractuelles</v>
      </c>
      <c r="C17" s="680">
        <f>SUMIF(Journal!$C$7:$C$2000,A17,Journal!$G$7:$G$2000)</f>
        <v>0</v>
      </c>
      <c r="D17" s="680">
        <f>SUMIF(Journal!$D$7:$D$2000,A17,Journal!$G$7:$G$2000)</f>
        <v>0</v>
      </c>
      <c r="E17" s="680">
        <f t="shared" si="0"/>
        <v>0</v>
      </c>
    </row>
    <row r="18" spans="1:5">
      <c r="A18" s="679">
        <f>Compte!A17</f>
        <v>113</v>
      </c>
      <c r="B18" s="679" t="str">
        <f>Compte!B17</f>
        <v>Réserves réglementées</v>
      </c>
      <c r="C18" s="680">
        <f>SUMIF(Journal!$C$7:$C$2000,A18,Journal!$G$7:$G$2000)</f>
        <v>0</v>
      </c>
      <c r="D18" s="680">
        <f>SUMIF(Journal!$D$7:$D$2000,A18,Journal!$G$7:$G$2000)</f>
        <v>0</v>
      </c>
      <c r="E18" s="680">
        <f t="shared" si="0"/>
        <v>0</v>
      </c>
    </row>
    <row r="19" spans="1:5">
      <c r="A19" s="679">
        <f>Compte!A18</f>
        <v>1181</v>
      </c>
      <c r="B19" s="679" t="str">
        <f>Compte!B18</f>
        <v>Réserves facultatives et diverses</v>
      </c>
      <c r="C19" s="680">
        <f>SUMIF(Journal!$C$7:$C$2000,A19,Journal!$G$7:$G$2000)</f>
        <v>0</v>
      </c>
      <c r="D19" s="680">
        <f>SUMIF(Journal!$D$7:$D$2000,A19,Journal!$G$7:$G$2000)</f>
        <v>0</v>
      </c>
      <c r="E19" s="680">
        <f t="shared" si="0"/>
        <v>0</v>
      </c>
    </row>
    <row r="20" spans="1:5">
      <c r="A20" s="679">
        <f>Compte!A19</f>
        <v>121</v>
      </c>
      <c r="B20" s="679" t="str">
        <f>Compte!B19</f>
        <v>Report à nouveau créditeur (+)</v>
      </c>
      <c r="C20" s="680">
        <f>SUMIF(Journal!$C$7:$C$2000,A20,Journal!$G$7:$G$2000)</f>
        <v>0</v>
      </c>
      <c r="D20" s="680">
        <f>SUMIF(Journal!$D$7:$D$2000,A20,Journal!$G$7:$G$2000)</f>
        <v>0</v>
      </c>
      <c r="E20" s="680">
        <f t="shared" si="0"/>
        <v>0</v>
      </c>
    </row>
    <row r="21" spans="1:5">
      <c r="A21" s="679">
        <f>Compte!A20</f>
        <v>129</v>
      </c>
      <c r="B21" s="679" t="str">
        <f>Compte!B20</f>
        <v>Report à nouveau débiteur(-)</v>
      </c>
      <c r="C21" s="680">
        <f>SUMIF(Journal!$C$7:$C$2000,A21,Journal!$G$7:$G$2000)</f>
        <v>0</v>
      </c>
      <c r="D21" s="680">
        <f>SUMIF(Journal!$D$7:$D$2000,A21,Journal!$G$7:$G$2000)</f>
        <v>0</v>
      </c>
      <c r="E21" s="680">
        <f t="shared" si="0"/>
        <v>0</v>
      </c>
    </row>
    <row r="22" spans="1:5">
      <c r="A22" s="679">
        <f>Compte!A21</f>
        <v>131</v>
      </c>
      <c r="B22" s="679" t="str">
        <f>Compte!B21</f>
        <v>Résultat de l'exercice bénéfice/perte</v>
      </c>
      <c r="C22" s="680">
        <f>SUMIF(Journal!$C$7:$C$2000,A22,Journal!$G$7:$G$2000)</f>
        <v>0</v>
      </c>
      <c r="D22" s="680">
        <f>SUMIF(Journal!$D$7:$D$2000,A22,Journal!$G$7:$G$2000)</f>
        <v>0</v>
      </c>
      <c r="E22" s="680">
        <f t="shared" si="0"/>
        <v>0</v>
      </c>
    </row>
    <row r="23" spans="1:5">
      <c r="A23" s="679">
        <f>Compte!A22</f>
        <v>139</v>
      </c>
      <c r="B23" s="679" t="str">
        <f>Compte!B22</f>
        <v>Résultat en attente d'affectation</v>
      </c>
      <c r="C23" s="680">
        <f>SUMIF(Journal!$C$7:$C$2000,A23,Journal!$G$7:$G$2000)</f>
        <v>0</v>
      </c>
      <c r="D23" s="680">
        <f>SUMIF(Journal!$D$7:$D$2000,A23,Journal!$G$7:$G$2000)</f>
        <v>0</v>
      </c>
      <c r="E23" s="680">
        <f t="shared" si="0"/>
        <v>0</v>
      </c>
    </row>
    <row r="24" spans="1:5">
      <c r="A24" s="679">
        <f>Compte!A23</f>
        <v>140</v>
      </c>
      <c r="B24" s="679" t="str">
        <f>Compte!B23</f>
        <v>Subventions d'investissement</v>
      </c>
      <c r="C24" s="680">
        <f>SUMIF(Journal!$C$7:$C$2000,A24,Journal!$G$7:$G$2000)</f>
        <v>0</v>
      </c>
      <c r="D24" s="680">
        <f>SUMIF(Journal!$D$7:$D$2000,A24,Journal!$G$7:$G$2000)</f>
        <v>0</v>
      </c>
      <c r="E24" s="680">
        <f t="shared" si="0"/>
        <v>0</v>
      </c>
    </row>
    <row r="25" spans="1:5">
      <c r="A25" s="679">
        <f>Compte!A24</f>
        <v>150</v>
      </c>
      <c r="B25" s="679" t="str">
        <f>Compte!B24</f>
        <v>Provisions réglementées et fonds assimilés</v>
      </c>
      <c r="C25" s="680">
        <f>SUMIF(Journal!$C$7:$C$2000,A25,Journal!$G$7:$G$2000)</f>
        <v>0</v>
      </c>
      <c r="D25" s="680">
        <f>SUMIF(Journal!$D$7:$D$2000,A25,Journal!$G$7:$G$2000)</f>
        <v>0</v>
      </c>
      <c r="E25" s="680">
        <f t="shared" si="0"/>
        <v>0</v>
      </c>
    </row>
    <row r="26" spans="1:5">
      <c r="A26" s="679">
        <f>Compte!A25</f>
        <v>161</v>
      </c>
      <c r="B26" s="679" t="str">
        <f>Compte!B25</f>
        <v>Emprunts obligataires</v>
      </c>
      <c r="C26" s="680">
        <f>SUMIF(Journal!$C$7:$C$2000,A26,Journal!$G$7:$G$2000)</f>
        <v>0</v>
      </c>
      <c r="D26" s="680">
        <f>SUMIF(Journal!$D$7:$D$2000,A26,Journal!$G$7:$G$2000)</f>
        <v>0</v>
      </c>
      <c r="E26" s="680">
        <f t="shared" si="0"/>
        <v>0</v>
      </c>
    </row>
    <row r="27" spans="1:5">
      <c r="A27" s="679">
        <f>Compte!A26</f>
        <v>162</v>
      </c>
      <c r="B27" s="679" t="str">
        <f>Compte!B26</f>
        <v>Emprunts auprès des établissement de crédit</v>
      </c>
      <c r="C27" s="680">
        <f>SUMIF(Journal!$C$7:$C$2000,A27,Journal!$G$7:$G$2000)</f>
        <v>10000</v>
      </c>
      <c r="D27" s="680">
        <f>SUMIF(Journal!$D$7:$D$2000,A27,Journal!$G$7:$G$2000)</f>
        <v>50000</v>
      </c>
      <c r="E27" s="680">
        <f t="shared" si="0"/>
        <v>-40000</v>
      </c>
    </row>
    <row r="28" spans="1:5">
      <c r="A28" s="679">
        <f>Compte!A27</f>
        <v>164</v>
      </c>
      <c r="B28" s="679" t="str">
        <f>Compte!B27</f>
        <v>Avances et divers acomptes reçues</v>
      </c>
      <c r="C28" s="680">
        <f>SUMIF(Journal!$C$7:$C$2000,A28,Journal!$G$7:$G$2000)</f>
        <v>0</v>
      </c>
      <c r="D28" s="680">
        <f>SUMIF(Journal!$D$7:$D$2000,A28,Journal!$G$7:$G$2000)</f>
        <v>0</v>
      </c>
      <c r="E28" s="680">
        <f t="shared" si="0"/>
        <v>0</v>
      </c>
    </row>
    <row r="29" spans="1:5">
      <c r="A29" s="679">
        <f>Compte!A28</f>
        <v>165</v>
      </c>
      <c r="B29" s="679" t="str">
        <f>Compte!B28</f>
        <v>Divers cautionnements reçus</v>
      </c>
      <c r="C29" s="680">
        <f>SUMIF(Journal!$C$7:$C$2000,A29,Journal!$G$7:$G$2000)</f>
        <v>0</v>
      </c>
      <c r="D29" s="680">
        <f>SUMIF(Journal!$D$7:$D$2000,A29,Journal!$G$7:$G$2000)</f>
        <v>0</v>
      </c>
      <c r="E29" s="680">
        <f t="shared" si="0"/>
        <v>0</v>
      </c>
    </row>
    <row r="30" spans="1:5">
      <c r="A30" s="679">
        <f>Compte!A29</f>
        <v>166</v>
      </c>
      <c r="B30" s="679" t="str">
        <f>Compte!B29</f>
        <v>Intérêt couru sur emprunts obligataires</v>
      </c>
      <c r="C30" s="680">
        <f>SUMIF(Journal!$C$7:$C$2000,A30,Journal!$G$7:$G$2000)</f>
        <v>0</v>
      </c>
      <c r="D30" s="680">
        <f>SUMIF(Journal!$D$7:$D$2000,A30,Journal!$G$7:$G$2000)</f>
        <v>0</v>
      </c>
      <c r="E30" s="680">
        <f t="shared" si="0"/>
        <v>0</v>
      </c>
    </row>
    <row r="31" spans="1:5">
      <c r="A31" s="679">
        <f>Compte!A30</f>
        <v>170</v>
      </c>
      <c r="B31" s="679" t="str">
        <f>Compte!B30</f>
        <v>Dettes de crédit-bail et contrats assimilés</v>
      </c>
      <c r="C31" s="680">
        <f>SUMIF(Journal!$C$7:$C$2000,A31,Journal!$G$7:$G$2000)</f>
        <v>0</v>
      </c>
      <c r="D31" s="680">
        <f>SUMIF(Journal!$D$7:$D$2000,A31,Journal!$G$7:$G$2000)</f>
        <v>0</v>
      </c>
      <c r="E31" s="680">
        <f t="shared" si="0"/>
        <v>0</v>
      </c>
    </row>
    <row r="32" spans="1:5">
      <c r="A32" s="679">
        <f>Compte!A31</f>
        <v>184</v>
      </c>
      <c r="B32" s="679" t="str">
        <f>Compte!B31</f>
        <v>Autres dettes financières diverses</v>
      </c>
      <c r="C32" s="680">
        <f>SUMIF(Journal!$C$7:$C$2000,A32,Journal!$G$7:$G$2000)</f>
        <v>0</v>
      </c>
      <c r="D32" s="680">
        <f>SUMIF(Journal!$D$7:$D$2000,A32,Journal!$G$7:$G$2000)</f>
        <v>0</v>
      </c>
      <c r="E32" s="680">
        <f t="shared" si="0"/>
        <v>0</v>
      </c>
    </row>
    <row r="33" spans="1:5">
      <c r="A33" s="679">
        <f>Compte!A32</f>
        <v>191</v>
      </c>
      <c r="B33" s="679" t="str">
        <f>Compte!B32</f>
        <v>Provision pour litiges</v>
      </c>
      <c r="C33" s="680">
        <f>SUMIF(Journal!$C$7:$C$2000,A33,Journal!$G$7:$G$2000)</f>
        <v>0</v>
      </c>
      <c r="D33" s="680">
        <f>SUMIF(Journal!$D$7:$D$2000,A33,Journal!$G$7:$G$2000)</f>
        <v>0</v>
      </c>
      <c r="E33" s="680">
        <f t="shared" si="0"/>
        <v>0</v>
      </c>
    </row>
    <row r="34" spans="1:5">
      <c r="A34" s="679">
        <f>Compte!A33</f>
        <v>192</v>
      </c>
      <c r="B34" s="679" t="str">
        <f>Compte!B33</f>
        <v>Provision pour pertes  créances clients</v>
      </c>
      <c r="C34" s="680">
        <f>SUMIF(Journal!$C$7:$C$2000,A34,Journal!$G$7:$G$2000)</f>
        <v>0</v>
      </c>
      <c r="D34" s="680">
        <f>SUMIF(Journal!$D$7:$D$2000,A34,Journal!$G$7:$G$2000)</f>
        <v>0</v>
      </c>
      <c r="E34" s="680">
        <f t="shared" si="0"/>
        <v>0</v>
      </c>
    </row>
    <row r="35" spans="1:5">
      <c r="A35" s="679">
        <f>Compte!A34</f>
        <v>194</v>
      </c>
      <c r="B35" s="679" t="str">
        <f>Compte!B34</f>
        <v>Provision pour pertes de change</v>
      </c>
      <c r="C35" s="680">
        <f>SUMIF(Journal!$C$7:$C$2000,A35,Journal!$G$7:$G$2000)</f>
        <v>0</v>
      </c>
      <c r="D35" s="680">
        <f>SUMIF(Journal!$D$7:$D$2000,A35,Journal!$G$7:$G$2000)</f>
        <v>0</v>
      </c>
      <c r="E35" s="680">
        <f t="shared" si="0"/>
        <v>0</v>
      </c>
    </row>
    <row r="36" spans="1:5">
      <c r="A36" s="679">
        <f>Compte!A35</f>
        <v>195</v>
      </c>
      <c r="B36" s="679" t="str">
        <f>Compte!B35</f>
        <v>Provision pour impôt</v>
      </c>
      <c r="C36" s="680">
        <f>SUMIF(Journal!$C$7:$C$2000,A36,Journal!$G$7:$G$2000)</f>
        <v>0</v>
      </c>
      <c r="D36" s="680">
        <f>SUMIF(Journal!$D$7:$D$2000,A36,Journal!$G$7:$G$2000)</f>
        <v>0</v>
      </c>
      <c r="E36" s="680">
        <f t="shared" si="0"/>
        <v>0</v>
      </c>
    </row>
    <row r="37" spans="1:5">
      <c r="A37" s="679">
        <f>Compte!A36</f>
        <v>197</v>
      </c>
      <c r="B37" s="679" t="str">
        <f>Compte!B36</f>
        <v>Provision pour charges à repartir sur plusieurs exercices</v>
      </c>
      <c r="C37" s="680">
        <f>SUMIF(Journal!$C$7:$C$2000,A37,Journal!$G$7:$G$2000)</f>
        <v>0</v>
      </c>
      <c r="D37" s="680">
        <f>SUMIF(Journal!$D$7:$D$2000,A37,Journal!$G$7:$G$2000)</f>
        <v>0</v>
      </c>
      <c r="E37" s="680">
        <f t="shared" si="0"/>
        <v>0</v>
      </c>
    </row>
    <row r="38" spans="1:5">
      <c r="A38" s="679">
        <f>Compte!A37</f>
        <v>1971</v>
      </c>
      <c r="B38" s="679" t="str">
        <f>Compte!B37</f>
        <v>Provisions pour grosses réparations</v>
      </c>
      <c r="C38" s="680">
        <f>SUMIF(Journal!$C$7:$C$2000,A38,Journal!$G$7:$G$2000)</f>
        <v>3000</v>
      </c>
      <c r="D38" s="680">
        <f>SUMIF(Journal!$D$7:$D$2000,A38,Journal!$G$7:$G$2000)</f>
        <v>3000</v>
      </c>
      <c r="E38" s="680">
        <f t="shared" si="0"/>
        <v>0</v>
      </c>
    </row>
    <row r="39" spans="1:5">
      <c r="A39" s="679">
        <f>Compte!A38</f>
        <v>1981</v>
      </c>
      <c r="B39" s="679" t="str">
        <f>Compte!B38</f>
        <v>Provisions pour amendes et pénalités</v>
      </c>
      <c r="C39" s="680">
        <f>SUMIF(Journal!$C$7:$C$2000,A39,Journal!$G$7:$G$2000)</f>
        <v>0</v>
      </c>
      <c r="D39" s="680">
        <f>SUMIF(Journal!$D$7:$D$2000,A39,Journal!$G$7:$G$2000)</f>
        <v>0</v>
      </c>
      <c r="E39" s="680">
        <f t="shared" si="0"/>
        <v>0</v>
      </c>
    </row>
    <row r="40" spans="1:5">
      <c r="A40" s="679">
        <f>Compte!A39</f>
        <v>1982</v>
      </c>
      <c r="B40" s="679" t="str">
        <f>Compte!B39</f>
        <v>Provisions sur des immobilisations</v>
      </c>
      <c r="C40" s="680">
        <f>SUMIF(Journal!$C$7:$C$2000,A40,Journal!$G$7:$G$2000)</f>
        <v>10000</v>
      </c>
      <c r="D40" s="680">
        <f>SUMIF(Journal!$D$7:$D$2000,A40,Journal!$G$7:$G$2000)</f>
        <v>10000</v>
      </c>
      <c r="E40" s="680">
        <f t="shared" si="0"/>
        <v>0</v>
      </c>
    </row>
    <row r="41" spans="1:5">
      <c r="A41" s="679">
        <f>Compte!A40</f>
        <v>4011</v>
      </c>
      <c r="B41" s="679" t="str">
        <f>Compte!B40</f>
        <v>Fournisseurs</v>
      </c>
      <c r="C41" s="680">
        <f>SUMIF(Journal!$C$7:$C$2000,A41,Journal!$G$7:$G$2000)</f>
        <v>10330</v>
      </c>
      <c r="D41" s="680">
        <f>SUMIF(Journal!$D$7:$D$2000,A41,Journal!$G$7:$G$2000)</f>
        <v>574790</v>
      </c>
      <c r="E41" s="680">
        <f t="shared" si="0"/>
        <v>-564460</v>
      </c>
    </row>
    <row r="42" spans="1:5">
      <c r="A42" s="679">
        <f>Compte!A41</f>
        <v>4012</v>
      </c>
      <c r="B42" s="679" t="str">
        <f>Compte!B41</f>
        <v>Fournisseurs étrangers</v>
      </c>
      <c r="C42" s="680">
        <f>SUMIF(Journal!$C$7:$C$2000,A42,Journal!$G$7:$G$2000)</f>
        <v>1300000</v>
      </c>
      <c r="D42" s="680">
        <f>SUMIF(Journal!$D$7:$D$2000,A42,Journal!$G$7:$G$2000)</f>
        <v>702300</v>
      </c>
      <c r="E42" s="680">
        <f t="shared" si="0"/>
        <v>597700</v>
      </c>
    </row>
    <row r="43" spans="1:5">
      <c r="A43" s="679">
        <f>Compte!A42</f>
        <v>4021</v>
      </c>
      <c r="B43" s="679" t="str">
        <f>Compte!B42</f>
        <v>Fournisseurs, Effets à payer</v>
      </c>
      <c r="C43" s="680">
        <f>SUMIF(Journal!$C$7:$C$2000,A43,Journal!$G$7:$G$2000)</f>
        <v>0</v>
      </c>
      <c r="D43" s="680">
        <f>SUMIF(Journal!$D$7:$D$2000,A43,Journal!$G$7:$G$2000)</f>
        <v>0</v>
      </c>
      <c r="E43" s="680">
        <f t="shared" si="0"/>
        <v>0</v>
      </c>
    </row>
    <row r="44" spans="1:5">
      <c r="A44" s="679">
        <f>Compte!A43</f>
        <v>4022</v>
      </c>
      <c r="B44" s="679" t="str">
        <f>Compte!B43</f>
        <v>Fournisseurs – étranger Effets à payer</v>
      </c>
      <c r="C44" s="680">
        <f>SUMIF(Journal!$C$7:$C$2000,A44,Journal!$G$7:$G$2000)</f>
        <v>0</v>
      </c>
      <c r="D44" s="680">
        <f>SUMIF(Journal!$D$7:$D$2000,A44,Journal!$G$7:$G$2000)</f>
        <v>0</v>
      </c>
      <c r="E44" s="680">
        <f t="shared" si="0"/>
        <v>0</v>
      </c>
    </row>
    <row r="45" spans="1:5">
      <c r="A45" s="679">
        <f>Compte!A44</f>
        <v>4081</v>
      </c>
      <c r="B45" s="679" t="str">
        <f>Compte!B44</f>
        <v>Fournisseurs  facture non parvenues</v>
      </c>
      <c r="C45" s="680">
        <f>SUMIF(Journal!$C$7:$C$2000,A45,Journal!$G$7:$G$2000)</f>
        <v>0</v>
      </c>
      <c r="D45" s="680">
        <f>SUMIF(Journal!$D$7:$D$2000,A45,Journal!$G$7:$G$2000)</f>
        <v>0</v>
      </c>
      <c r="E45" s="680">
        <f t="shared" si="0"/>
        <v>0</v>
      </c>
    </row>
    <row r="46" spans="1:5">
      <c r="A46" s="679">
        <f>Compte!A45</f>
        <v>4086</v>
      </c>
      <c r="B46" s="679" t="str">
        <f>Compte!B45</f>
        <v>Fournisseurs, intérêts courus</v>
      </c>
      <c r="C46" s="680">
        <f>SUMIF(Journal!$C$7:$C$2000,A46,Journal!$G$7:$G$2000)</f>
        <v>0</v>
      </c>
      <c r="D46" s="680">
        <f>SUMIF(Journal!$D$7:$D$2000,A46,Journal!$G$7:$G$2000)</f>
        <v>0</v>
      </c>
      <c r="E46" s="680">
        <f t="shared" si="0"/>
        <v>0</v>
      </c>
    </row>
    <row r="47" spans="1:5">
      <c r="A47" s="679">
        <f>Compte!A46</f>
        <v>4091</v>
      </c>
      <c r="B47" s="679" t="str">
        <f>Compte!B46</f>
        <v>Fournisseurs avances et acomptes versés</v>
      </c>
      <c r="C47" s="680">
        <f>SUMIF(Journal!$C$7:$C$2000,A47,Journal!$G$7:$G$2000)</f>
        <v>5100</v>
      </c>
      <c r="D47" s="680">
        <f>SUMIF(Journal!$D$7:$D$2000,A47,Journal!$G$7:$G$2000)</f>
        <v>5100</v>
      </c>
      <c r="E47" s="680">
        <f t="shared" si="0"/>
        <v>0</v>
      </c>
    </row>
    <row r="48" spans="1:5">
      <c r="A48" s="679">
        <f>Compte!A47</f>
        <v>4094</v>
      </c>
      <c r="B48" s="679" t="str">
        <f>Compte!B47</f>
        <v>Fournisseurs créances pour emballages et matériels à rendre</v>
      </c>
      <c r="C48" s="680">
        <f>SUMIF(Journal!$C$7:$C$2000,A48,Journal!$G$7:$G$2000)</f>
        <v>0</v>
      </c>
      <c r="D48" s="680">
        <f>SUMIF(Journal!$D$7:$D$2000,A48,Journal!$G$7:$G$2000)</f>
        <v>0</v>
      </c>
      <c r="E48" s="680">
        <f t="shared" si="0"/>
        <v>0</v>
      </c>
    </row>
    <row r="49" spans="1:5">
      <c r="A49" s="679">
        <f>Compte!A48</f>
        <v>4098</v>
      </c>
      <c r="B49" s="679" t="str">
        <f>Compte!B48</f>
        <v>Rabais, Remises, Ristournes et autres avoirs à obtenir</v>
      </c>
      <c r="C49" s="680">
        <f>SUMIF(Journal!$C$7:$C$2000,A49,Journal!$G$7:$G$2000)</f>
        <v>0</v>
      </c>
      <c r="D49" s="680">
        <f>SUMIF(Journal!$D$7:$D$2000,A49,Journal!$G$7:$G$2000)</f>
        <v>0</v>
      </c>
      <c r="E49" s="680">
        <f t="shared" si="0"/>
        <v>0</v>
      </c>
    </row>
    <row r="50" spans="1:5">
      <c r="A50" s="679">
        <f>Compte!A49</f>
        <v>431</v>
      </c>
      <c r="B50" s="679" t="str">
        <f>Compte!B49</f>
        <v>Sécurité sociale , alloc familiale, accident travail, retraite obligatoire...</v>
      </c>
      <c r="C50" s="680">
        <f>SUMIF(Journal!$C$7:$C$2000,A50,Journal!$G$7:$G$2000)</f>
        <v>0</v>
      </c>
      <c r="D50" s="680">
        <f>SUMIF(Journal!$D$7:$D$2000,A50,Journal!$G$7:$G$2000)</f>
        <v>70000</v>
      </c>
      <c r="E50" s="680">
        <f t="shared" si="0"/>
        <v>-70000</v>
      </c>
    </row>
    <row r="51" spans="1:5">
      <c r="A51" s="679">
        <f>Compte!A50</f>
        <v>433</v>
      </c>
      <c r="B51" s="679" t="str">
        <f>Compte!B50</f>
        <v>Autres organismes sociaux</v>
      </c>
      <c r="C51" s="680">
        <f>SUMIF(Journal!$C$7:$C$2000,A51,Journal!$G$7:$G$2000)</f>
        <v>0</v>
      </c>
      <c r="D51" s="680">
        <f>SUMIF(Journal!$D$7:$D$2000,A51,Journal!$G$7:$G$2000)</f>
        <v>40000</v>
      </c>
      <c r="E51" s="680">
        <f t="shared" si="0"/>
        <v>-40000</v>
      </c>
    </row>
    <row r="52" spans="1:5">
      <c r="A52" s="679">
        <f>Compte!A51</f>
        <v>438</v>
      </c>
      <c r="B52" s="679" t="str">
        <f>Compte!B51</f>
        <v>Mutuelle , organismes. Sociaux, Autres charges à payer</v>
      </c>
      <c r="C52" s="680">
        <f>SUMIF(Journal!$C$7:$C$2000,A52,Journal!$G$7:$G$2000)</f>
        <v>0</v>
      </c>
      <c r="D52" s="680">
        <f>SUMIF(Journal!$D$7:$D$2000,A52,Journal!$G$7:$G$2000)</f>
        <v>20000</v>
      </c>
      <c r="E52" s="680">
        <f t="shared" si="0"/>
        <v>-20000</v>
      </c>
    </row>
    <row r="53" spans="1:5">
      <c r="A53" s="679">
        <f>Compte!A52</f>
        <v>465</v>
      </c>
      <c r="B53" s="679" t="str">
        <f>Compte!B52</f>
        <v>Associés, dividendes à payer</v>
      </c>
      <c r="C53" s="680">
        <f>SUMIF(Journal!$C$7:$C$2000,A53,Journal!$G$7:$G$2000)</f>
        <v>0</v>
      </c>
      <c r="D53" s="680">
        <f>SUMIF(Journal!$D$7:$D$2000,A53,Journal!$G$7:$G$2000)</f>
        <v>0</v>
      </c>
      <c r="E53" s="680">
        <f t="shared" si="0"/>
        <v>0</v>
      </c>
    </row>
    <row r="54" spans="1:5">
      <c r="A54" s="679">
        <f>Compte!A53</f>
        <v>4640</v>
      </c>
      <c r="B54" s="679" t="str">
        <f>Compte!B53</f>
        <v>Dettes sur immobilisations</v>
      </c>
      <c r="C54" s="680">
        <f>SUMIF(Journal!$C$7:$C$2000,A54,Journal!$G$7:$G$2000)</f>
        <v>0</v>
      </c>
      <c r="D54" s="680">
        <f>SUMIF(Journal!$D$7:$D$2000,A54,Journal!$G$7:$G$2000)</f>
        <v>0</v>
      </c>
      <c r="E54" s="680">
        <f t="shared" si="0"/>
        <v>0</v>
      </c>
    </row>
    <row r="55" spans="1:5">
      <c r="A55" s="679">
        <f>Compte!A54</f>
        <v>4680</v>
      </c>
      <c r="B55" s="679" t="str">
        <f>Compte!B54</f>
        <v>Autres dettes</v>
      </c>
      <c r="C55" s="680">
        <f>SUMIF(Journal!$C$7:$C$2000,A55,Journal!$G$7:$G$2000)</f>
        <v>0</v>
      </c>
      <c r="D55" s="680">
        <f>SUMIF(Journal!$D$7:$D$2000,A55,Journal!$G$7:$G$2000)</f>
        <v>0</v>
      </c>
      <c r="E55" s="680">
        <f t="shared" si="0"/>
        <v>0</v>
      </c>
    </row>
    <row r="56" spans="1:5">
      <c r="A56" s="679">
        <f>Compte!A55</f>
        <v>441</v>
      </c>
      <c r="B56" s="679" t="str">
        <f>Compte!B55</f>
        <v>Etat impôt sur les bénéfices</v>
      </c>
      <c r="C56" s="680">
        <f>SUMIF(Journal!$C$7:$C$2000,A56,Journal!$G$7:$G$2000)</f>
        <v>0</v>
      </c>
      <c r="D56" s="680">
        <f>SUMIF(Journal!$D$7:$D$2000,A56,Journal!$G$7:$G$2000)</f>
        <v>0</v>
      </c>
      <c r="E56" s="680">
        <f t="shared" si="0"/>
        <v>0</v>
      </c>
    </row>
    <row r="57" spans="1:5">
      <c r="A57" s="679">
        <f>Compte!A56</f>
        <v>442</v>
      </c>
      <c r="B57" s="679" t="str">
        <f>Compte!B56</f>
        <v>Etat autres impôt et taxes dont douanes</v>
      </c>
      <c r="C57" s="680">
        <f>SUMIF(Journal!$C$7:$C$2000,A57,Journal!$G$7:$G$2000)</f>
        <v>0</v>
      </c>
      <c r="D57" s="680">
        <f>SUMIF(Journal!$D$7:$D$2000,A57,Journal!$G$7:$G$2000)</f>
        <v>0</v>
      </c>
      <c r="E57" s="680">
        <f t="shared" si="0"/>
        <v>0</v>
      </c>
    </row>
    <row r="58" spans="1:5">
      <c r="A58" s="679">
        <f>Compte!A57</f>
        <v>443</v>
      </c>
      <c r="B58" s="679" t="str">
        <f>Compte!B57</f>
        <v>Tva due</v>
      </c>
      <c r="C58" s="680">
        <f>SUMIF(Journal!$C$7:$C$2000,A58,Journal!$G$7:$G$2000)</f>
        <v>0</v>
      </c>
      <c r="D58" s="680">
        <f>SUMIF(Journal!$D$7:$D$2000,A58,Journal!$G$7:$G$2000)</f>
        <v>0</v>
      </c>
      <c r="E58" s="680">
        <f t="shared" si="0"/>
        <v>0</v>
      </c>
    </row>
    <row r="59" spans="1:5">
      <c r="A59" s="679">
        <f>Compte!A58</f>
        <v>4435</v>
      </c>
      <c r="B59" s="679" t="str">
        <f>Compte!B58</f>
        <v>Etat tva à établir</v>
      </c>
      <c r="C59" s="680">
        <f>SUMIF(Journal!$C$7:$C$2000,A59,Journal!$G$7:$G$2000)</f>
        <v>0</v>
      </c>
      <c r="D59" s="680">
        <f>SUMIF(Journal!$D$7:$D$2000,A59,Journal!$G$7:$G$2000)</f>
        <v>0</v>
      </c>
      <c r="E59" s="680">
        <f t="shared" si="0"/>
        <v>0</v>
      </c>
    </row>
    <row r="60" spans="1:5">
      <c r="A60" s="679">
        <f>Compte!A59</f>
        <v>446</v>
      </c>
      <c r="B60" s="679" t="str">
        <f>Compte!B59</f>
        <v>Autres taxes sur CA</v>
      </c>
      <c r="C60" s="680">
        <f>SUMIF(Journal!$C$7:$C$2000,A60,Journal!$G$7:$G$2000)</f>
        <v>0</v>
      </c>
      <c r="D60" s="680">
        <f>SUMIF(Journal!$D$7:$D$2000,A60,Journal!$G$7:$G$2000)</f>
        <v>0</v>
      </c>
      <c r="E60" s="680">
        <f t="shared" si="0"/>
        <v>0</v>
      </c>
    </row>
    <row r="61" spans="1:5">
      <c r="A61" s="679">
        <f>Compte!A60</f>
        <v>447</v>
      </c>
      <c r="B61" s="679" t="str">
        <f>Compte!B60</f>
        <v>Etat impôt et autres retenues</v>
      </c>
      <c r="C61" s="680">
        <f>SUMIF(Journal!$C$7:$C$2000,A61,Journal!$G$7:$G$2000)</f>
        <v>0</v>
      </c>
      <c r="D61" s="680">
        <f>SUMIF(Journal!$D$7:$D$2000,A61,Journal!$G$7:$G$2000)</f>
        <v>0</v>
      </c>
      <c r="E61" s="680">
        <f t="shared" si="0"/>
        <v>0</v>
      </c>
    </row>
    <row r="62" spans="1:5">
      <c r="A62" s="679">
        <f>Compte!A61</f>
        <v>4486</v>
      </c>
      <c r="B62" s="679" t="str">
        <f>Compte!B61</f>
        <v>Etat charges à payer</v>
      </c>
      <c r="C62" s="680">
        <f>SUMIF(Journal!$C$7:$C$2000,A62,Journal!$G$7:$G$2000)</f>
        <v>0</v>
      </c>
      <c r="D62" s="680">
        <f>SUMIF(Journal!$D$7:$D$2000,A62,Journal!$G$7:$G$2000)</f>
        <v>0</v>
      </c>
      <c r="E62" s="680">
        <f t="shared" si="0"/>
        <v>0</v>
      </c>
    </row>
    <row r="63" spans="1:5">
      <c r="A63" s="679">
        <f>Compte!A62</f>
        <v>185</v>
      </c>
      <c r="B63" s="679" t="str">
        <f>Compte!B62</f>
        <v>Dettes liés à des participations</v>
      </c>
      <c r="C63" s="680">
        <f>SUMIF(Journal!$C$7:$C$2000,A63,Journal!$G$7:$G$2000)</f>
        <v>0</v>
      </c>
      <c r="D63" s="680">
        <f>SUMIF(Journal!$D$7:$D$2000,A63,Journal!$G$7:$G$2000)</f>
        <v>0</v>
      </c>
      <c r="E63" s="680">
        <f t="shared" si="0"/>
        <v>0</v>
      </c>
    </row>
    <row r="64" spans="1:5">
      <c r="A64" s="679">
        <f>Compte!A63</f>
        <v>4712</v>
      </c>
      <c r="B64" s="679" t="str">
        <f>Compte!B63</f>
        <v>Créditeurs divers</v>
      </c>
      <c r="C64" s="680">
        <f>SUMIF(Journal!$C$7:$C$2000,A64,Journal!$G$7:$G$2000)</f>
        <v>0</v>
      </c>
      <c r="D64" s="680">
        <f>SUMIF(Journal!$D$7:$D$2000,A64,Journal!$G$7:$G$2000)</f>
        <v>0</v>
      </c>
      <c r="E64" s="680">
        <f t="shared" si="0"/>
        <v>0</v>
      </c>
    </row>
    <row r="65" spans="1:5">
      <c r="A65" s="679">
        <f>Compte!A64</f>
        <v>4726</v>
      </c>
      <c r="B65" s="679" t="str">
        <f>Compte!B64</f>
        <v>Versement restant sur titres participatifs</v>
      </c>
      <c r="C65" s="680">
        <f>SUMIF(Journal!$C$7:$C$2000,A65,Journal!$G$7:$G$2000)</f>
        <v>0</v>
      </c>
      <c r="D65" s="680">
        <f>SUMIF(Journal!$D$7:$D$2000,A65,Journal!$G$7:$G$2000)</f>
        <v>0</v>
      </c>
      <c r="E65" s="680">
        <f t="shared" si="0"/>
        <v>0</v>
      </c>
    </row>
    <row r="66" spans="1:5">
      <c r="A66" s="679">
        <f>Compte!A65</f>
        <v>4727</v>
      </c>
      <c r="B66" s="679" t="str">
        <f>Compte!B65</f>
        <v>Versement restant sur titres immobilisés</v>
      </c>
      <c r="C66" s="680">
        <f>SUMIF(Journal!$C$7:$C$2000,A66,Journal!$G$7:$G$2000)</f>
        <v>0</v>
      </c>
      <c r="D66" s="680">
        <f>SUMIF(Journal!$D$7:$D$2000,A66,Journal!$G$7:$G$2000)</f>
        <v>0</v>
      </c>
      <c r="E66" s="680">
        <f t="shared" si="0"/>
        <v>0</v>
      </c>
    </row>
    <row r="67" spans="1:5">
      <c r="A67" s="679">
        <f>Compte!A66</f>
        <v>4726</v>
      </c>
      <c r="B67" s="679" t="str">
        <f>Compte!B66</f>
        <v>Versement restant sur titres VMP</v>
      </c>
      <c r="C67" s="680">
        <f>SUMIF(Journal!$C$7:$C$2000,A67,Journal!$G$7:$G$2000)</f>
        <v>0</v>
      </c>
      <c r="D67" s="680">
        <f>SUMIF(Journal!$D$7:$D$2000,A67,Journal!$G$7:$G$2000)</f>
        <v>0</v>
      </c>
      <c r="E67" s="680">
        <f t="shared" si="0"/>
        <v>0</v>
      </c>
    </row>
    <row r="68" spans="1:5">
      <c r="A68" s="679">
        <f>Compte!A67</f>
        <v>499</v>
      </c>
      <c r="B68" s="679" t="str">
        <f>Compte!B67</f>
        <v>Risques provisionnés exploitation et Hao</v>
      </c>
      <c r="C68" s="680">
        <f>SUMIF(Journal!$C$7:$C$2000,A68,Journal!$G$7:$G$2000)</f>
        <v>0</v>
      </c>
      <c r="D68" s="680">
        <f>SUMIF(Journal!$D$7:$D$2000,A68,Journal!$G$7:$G$2000)</f>
        <v>0</v>
      </c>
      <c r="E68" s="680">
        <f t="shared" si="0"/>
        <v>0</v>
      </c>
    </row>
    <row r="69" spans="1:5">
      <c r="A69" s="679">
        <f>Compte!A68</f>
        <v>599</v>
      </c>
      <c r="B69" s="679" t="str">
        <f>Compte!B68</f>
        <v>Risques provisionnés à caractère financier</v>
      </c>
      <c r="C69" s="680">
        <f>SUMIF(Journal!$C$7:$C$2000,A69,Journal!$G$7:$G$2000)</f>
        <v>0</v>
      </c>
      <c r="D69" s="680">
        <f>SUMIF(Journal!$D$7:$D$2000,A69,Journal!$G$7:$G$2000)</f>
        <v>0</v>
      </c>
      <c r="E69" s="680">
        <f t="shared" ref="E69:E132" si="1">C69-D69</f>
        <v>0</v>
      </c>
    </row>
    <row r="70" spans="1:5">
      <c r="A70" s="679">
        <f>Compte!A69</f>
        <v>561</v>
      </c>
      <c r="B70" s="679" t="str">
        <f>Compte!B69</f>
        <v>Banques et crédits d'escompte</v>
      </c>
      <c r="C70" s="680">
        <f>SUMIF(Journal!$C$7:$C$2000,A70,Journal!$G$7:$G$2000)</f>
        <v>0</v>
      </c>
      <c r="D70" s="680">
        <f>SUMIF(Journal!$D$7:$D$2000,A70,Journal!$G$7:$G$2000)</f>
        <v>0</v>
      </c>
      <c r="E70" s="680">
        <f t="shared" si="1"/>
        <v>0</v>
      </c>
    </row>
    <row r="71" spans="1:5">
      <c r="A71" s="679">
        <f>Compte!A70</f>
        <v>564</v>
      </c>
      <c r="B71" s="679" t="str">
        <f>Compte!B70</f>
        <v>Escompte de concours campagne agricole</v>
      </c>
      <c r="C71" s="680">
        <f>SUMIF(Journal!$C$7:$C$2000,A71,Journal!$G$7:$G$2000)</f>
        <v>0</v>
      </c>
      <c r="D71" s="680">
        <f>SUMIF(Journal!$D$7:$D$2000,A71,Journal!$G$7:$G$2000)</f>
        <v>0</v>
      </c>
      <c r="E71" s="680">
        <f t="shared" si="1"/>
        <v>0</v>
      </c>
    </row>
    <row r="72" spans="1:5">
      <c r="A72" s="679">
        <f>Compte!A71</f>
        <v>565</v>
      </c>
      <c r="B72" s="679" t="str">
        <f>Compte!B71</f>
        <v>Escompte de crédit pour le commerce</v>
      </c>
      <c r="C72" s="680">
        <f>SUMIF(Journal!$C$7:$C$2000,A72,Journal!$G$7:$G$2000)</f>
        <v>0</v>
      </c>
      <c r="D72" s="680">
        <f>SUMIF(Journal!$D$7:$D$2000,A72,Journal!$G$7:$G$2000)</f>
        <v>0</v>
      </c>
      <c r="E72" s="680">
        <f t="shared" si="1"/>
        <v>0</v>
      </c>
    </row>
    <row r="73" spans="1:5">
      <c r="A73" s="679">
        <f>Compte!A72</f>
        <v>566</v>
      </c>
      <c r="B73" s="679" t="str">
        <f>Compte!B72</f>
        <v>Intérêt couru sur crédit de trésorerie</v>
      </c>
      <c r="C73" s="680">
        <f>SUMIF(Journal!$C$7:$C$2000,A73,Journal!$G$7:$G$2000)</f>
        <v>0</v>
      </c>
      <c r="D73" s="680">
        <f>SUMIF(Journal!$D$7:$D$2000,A73,Journal!$G$7:$G$2000)</f>
        <v>0</v>
      </c>
      <c r="E73" s="680">
        <f t="shared" si="1"/>
        <v>0</v>
      </c>
    </row>
    <row r="74" spans="1:5">
      <c r="A74" s="679">
        <f>Compte!A73</f>
        <v>52</v>
      </c>
      <c r="B74" s="679" t="str">
        <f>Compte!B73</f>
        <v>Banques, découverts solde céditeur</v>
      </c>
      <c r="C74" s="680">
        <f>SUMIF(Journal!$C$7:$C$2000,A74,Journal!$G$7:$G$2000)</f>
        <v>0</v>
      </c>
      <c r="D74" s="680">
        <f>SUMIF(Journal!$D$7:$D$2000,A74,Journal!$G$7:$G$2000)</f>
        <v>0</v>
      </c>
      <c r="E74" s="680">
        <f t="shared" si="1"/>
        <v>0</v>
      </c>
    </row>
    <row r="75" spans="1:5">
      <c r="A75" s="679">
        <f>Compte!A74</f>
        <v>477</v>
      </c>
      <c r="B75" s="679" t="str">
        <f>Compte!B74</f>
        <v>Passif de régulation , Charge à payer, Produits payés d'avance</v>
      </c>
      <c r="C75" s="680">
        <f>SUMIF(Journal!$C$7:$C$2000,A75,Journal!$G$7:$G$2000)</f>
        <v>0</v>
      </c>
      <c r="D75" s="680">
        <f>SUMIF(Journal!$D$7:$D$2000,A75,Journal!$G$7:$G$2000)</f>
        <v>12100</v>
      </c>
      <c r="E75" s="680">
        <f t="shared" si="1"/>
        <v>-12100</v>
      </c>
    </row>
    <row r="76" spans="1:5">
      <c r="A76" s="679">
        <f>Compte!A75</f>
        <v>479</v>
      </c>
      <c r="B76" s="679" t="str">
        <f>Compte!B75</f>
        <v>Ecart de convertion de passif</v>
      </c>
      <c r="C76" s="680">
        <f>SUMIF(Journal!$C$7:$C$2000,A76,Journal!$G$7:$G$2000)</f>
        <v>0</v>
      </c>
      <c r="D76" s="680">
        <f>SUMIF(Journal!$D$7:$D$2000,A76,Journal!$G$7:$G$2000)</f>
        <v>0</v>
      </c>
      <c r="E76" s="680">
        <f t="shared" si="1"/>
        <v>0</v>
      </c>
    </row>
    <row r="77" spans="1:5">
      <c r="A77" s="679">
        <f>Compte!A76</f>
        <v>211</v>
      </c>
      <c r="B77" s="679" t="str">
        <f>Compte!B76</f>
        <v>Frais recherche et développement</v>
      </c>
      <c r="C77" s="680">
        <f>SUMIF(Journal!$C$7:$C$2000,A77,Journal!$G$7:$G$2000)</f>
        <v>0</v>
      </c>
      <c r="D77" s="680">
        <f>SUMIF(Journal!$D$7:$D$2000,A77,Journal!$G$7:$G$2000)</f>
        <v>0</v>
      </c>
      <c r="E77" s="680">
        <f t="shared" si="1"/>
        <v>0</v>
      </c>
    </row>
    <row r="78" spans="1:5">
      <c r="A78" s="679">
        <f>Compte!A77</f>
        <v>2811</v>
      </c>
      <c r="B78" s="679" t="str">
        <f>Compte!B77</f>
        <v>Amortissements. : frais R &amp;D</v>
      </c>
      <c r="C78" s="680">
        <f>SUMIF(Journal!$C$7:$C$2000,A78,Journal!$G$7:$G$2000)</f>
        <v>0</v>
      </c>
      <c r="D78" s="680">
        <f>SUMIF(Journal!$D$7:$D$2000,A78,Journal!$G$7:$G$2000)</f>
        <v>0</v>
      </c>
      <c r="E78" s="680">
        <f t="shared" si="1"/>
        <v>0</v>
      </c>
    </row>
    <row r="79" spans="1:5">
      <c r="A79" s="679">
        <f>Compte!A78</f>
        <v>212</v>
      </c>
      <c r="B79" s="679" t="str">
        <f>Compte!B78</f>
        <v>Brevets, licences, concessions</v>
      </c>
      <c r="C79" s="680">
        <f>SUMIF(Journal!$C$7:$C$2000,A79,Journal!$G$7:$G$2000)</f>
        <v>20000</v>
      </c>
      <c r="D79" s="680">
        <f>SUMIF(Journal!$D$7:$D$2000,A79,Journal!$G$7:$G$2000)</f>
        <v>0</v>
      </c>
      <c r="E79" s="680">
        <f t="shared" si="1"/>
        <v>20000</v>
      </c>
    </row>
    <row r="80" spans="1:5">
      <c r="A80" s="679">
        <f>Compte!A79</f>
        <v>2812</v>
      </c>
      <c r="B80" s="679" t="str">
        <f>Compte!B79</f>
        <v>Amortissements. : brevets, licences</v>
      </c>
      <c r="C80" s="680">
        <f>SUMIF(Journal!$C$7:$C$2000,A80,Journal!$G$7:$G$2000)</f>
        <v>0</v>
      </c>
      <c r="D80" s="680">
        <f>SUMIF(Journal!$D$7:$D$2000,A80,Journal!$G$7:$G$2000)</f>
        <v>1000</v>
      </c>
      <c r="E80" s="680">
        <f t="shared" si="1"/>
        <v>-1000</v>
      </c>
    </row>
    <row r="81" spans="1:5">
      <c r="A81" s="679">
        <f>Compte!A80</f>
        <v>213</v>
      </c>
      <c r="B81" s="679" t="str">
        <f>Compte!B80</f>
        <v>Logiciels &amp; marques</v>
      </c>
      <c r="C81" s="680">
        <f>SUMIF(Journal!$C$7:$C$2000,A81,Journal!$G$7:$G$2000)</f>
        <v>20000</v>
      </c>
      <c r="D81" s="680">
        <f>SUMIF(Journal!$D$7:$D$2000,A81,Journal!$G$7:$G$2000)</f>
        <v>0</v>
      </c>
      <c r="E81" s="680">
        <f t="shared" si="1"/>
        <v>20000</v>
      </c>
    </row>
    <row r="82" spans="1:5">
      <c r="A82" s="679">
        <f>Compte!A81</f>
        <v>2813</v>
      </c>
      <c r="B82" s="679" t="str">
        <f>Compte!B81</f>
        <v>Amortissements des logiciels &amp;marques</v>
      </c>
      <c r="C82" s="680">
        <f>SUMIF(Journal!$C$7:$C$2000,A82,Journal!$G$7:$G$2000)</f>
        <v>0</v>
      </c>
      <c r="D82" s="680">
        <f>SUMIF(Journal!$D$7:$D$2000,A82,Journal!$G$7:$G$2000)</f>
        <v>1000</v>
      </c>
      <c r="E82" s="680">
        <f t="shared" si="1"/>
        <v>-1000</v>
      </c>
    </row>
    <row r="83" spans="1:5">
      <c r="A83" s="679">
        <f>Compte!A82</f>
        <v>215</v>
      </c>
      <c r="B83" s="679" t="str">
        <f>Compte!B82</f>
        <v>Fonds commercial</v>
      </c>
      <c r="C83" s="680">
        <f>SUMIF(Journal!$C$7:$C$2000,A83,Journal!$G$7:$G$2000)</f>
        <v>0</v>
      </c>
      <c r="D83" s="680">
        <f>SUMIF(Journal!$D$7:$D$2000,A83,Journal!$G$7:$G$2000)</f>
        <v>0</v>
      </c>
      <c r="E83" s="680">
        <f t="shared" si="1"/>
        <v>0</v>
      </c>
    </row>
    <row r="84" spans="1:5">
      <c r="A84" s="679">
        <f>Compte!A83</f>
        <v>2815</v>
      </c>
      <c r="B84" s="679" t="str">
        <f>Compte!B83</f>
        <v>Amortissements. du fonds commercial</v>
      </c>
      <c r="C84" s="680">
        <f>SUMIF(Journal!$C$7:$C$2000,A84,Journal!$G$7:$G$2000)</f>
        <v>0</v>
      </c>
      <c r="D84" s="680">
        <f>SUMIF(Journal!$D$7:$D$2000,A84,Journal!$G$7:$G$2000)</f>
        <v>0</v>
      </c>
      <c r="E84" s="680">
        <f t="shared" si="1"/>
        <v>0</v>
      </c>
    </row>
    <row r="85" spans="1:5">
      <c r="A85" s="679">
        <f>Compte!A84</f>
        <v>216</v>
      </c>
      <c r="B85" s="679" t="str">
        <f>Compte!B84</f>
        <v>Droit au bail</v>
      </c>
      <c r="C85" s="680">
        <f>SUMIF(Journal!$C$7:$C$2000,A85,Journal!$G$7:$G$2000)</f>
        <v>0</v>
      </c>
      <c r="D85" s="680">
        <f>SUMIF(Journal!$D$7:$D$2000,A85,Journal!$G$7:$G$2000)</f>
        <v>0</v>
      </c>
      <c r="E85" s="680">
        <f t="shared" si="1"/>
        <v>0</v>
      </c>
    </row>
    <row r="86" spans="1:5">
      <c r="A86" s="679">
        <f>Compte!A85</f>
        <v>2816</v>
      </c>
      <c r="B86" s="679" t="str">
        <f>Compte!B85</f>
        <v>Amortissements du droit au bail</v>
      </c>
      <c r="C86" s="680">
        <f>SUMIF(Journal!$C$7:$C$2000,A86,Journal!$G$7:$G$2000)</f>
        <v>0</v>
      </c>
      <c r="D86" s="680">
        <f>SUMIF(Journal!$D$7:$D$2000,A86,Journal!$G$7:$G$2000)</f>
        <v>0</v>
      </c>
      <c r="E86" s="680">
        <f t="shared" si="1"/>
        <v>0</v>
      </c>
    </row>
    <row r="87" spans="1:5">
      <c r="A87" s="679">
        <f>Compte!A86</f>
        <v>217</v>
      </c>
      <c r="B87" s="679" t="str">
        <f>Compte!B86</f>
        <v>Investissements de création</v>
      </c>
      <c r="C87" s="680">
        <f>SUMIF(Journal!$C$7:$C$2000,A87,Journal!$G$7:$G$2000)</f>
        <v>0</v>
      </c>
      <c r="D87" s="680">
        <f>SUMIF(Journal!$D$7:$D$2000,A87,Journal!$G$7:$G$2000)</f>
        <v>0</v>
      </c>
      <c r="E87" s="680">
        <f t="shared" si="1"/>
        <v>0</v>
      </c>
    </row>
    <row r="88" spans="1:5">
      <c r="A88" s="679">
        <f>Compte!A87</f>
        <v>2817</v>
      </c>
      <c r="B88" s="679" t="str">
        <f>Compte!B87</f>
        <v>Amont. : investissements. création</v>
      </c>
      <c r="C88" s="680">
        <f>SUMIF(Journal!$C$7:$C$2000,A88,Journal!$G$7:$G$2000)</f>
        <v>0</v>
      </c>
      <c r="D88" s="680">
        <f>SUMIF(Journal!$D$7:$D$2000,A88,Journal!$G$7:$G$2000)</f>
        <v>0</v>
      </c>
      <c r="E88" s="680">
        <f t="shared" si="1"/>
        <v>0</v>
      </c>
    </row>
    <row r="89" spans="1:5">
      <c r="A89" s="679">
        <f>Compte!A88</f>
        <v>218</v>
      </c>
      <c r="B89" s="679" t="str">
        <f>Compte!B88</f>
        <v>Autres droits, valeurs incorporelles.</v>
      </c>
      <c r="C89" s="680">
        <f>SUMIF(Journal!$C$7:$C$2000,A89,Journal!$G$7:$G$2000)</f>
        <v>20000</v>
      </c>
      <c r="D89" s="680">
        <f>SUMIF(Journal!$D$7:$D$2000,A89,Journal!$G$7:$G$2000)</f>
        <v>0</v>
      </c>
      <c r="E89" s="680">
        <f t="shared" si="1"/>
        <v>20000</v>
      </c>
    </row>
    <row r="90" spans="1:5">
      <c r="A90" s="679">
        <f>Compte!A89</f>
        <v>2818</v>
      </c>
      <c r="B90" s="679" t="str">
        <f>Compte!B89</f>
        <v>Amortissements. autres  valeurs incorporelles.</v>
      </c>
      <c r="C90" s="680">
        <f>SUMIF(Journal!$C$7:$C$2000,A90,Journal!$G$7:$G$2000)</f>
        <v>0</v>
      </c>
      <c r="D90" s="680">
        <f>SUMIF(Journal!$D$7:$D$2000,A90,Journal!$G$7:$G$2000)</f>
        <v>1000</v>
      </c>
      <c r="E90" s="680">
        <f t="shared" si="1"/>
        <v>-1000</v>
      </c>
    </row>
    <row r="91" spans="1:5">
      <c r="A91" s="679">
        <f>Compte!A90</f>
        <v>221</v>
      </c>
      <c r="B91" s="679" t="str">
        <f>Compte!B90</f>
        <v>Terrains agricoles, forestiers, nu, bâtit</v>
      </c>
      <c r="C91" s="680">
        <f>SUMIF(Journal!$C$7:$C$2000,A91,Journal!$G$7:$G$2000)</f>
        <v>60000</v>
      </c>
      <c r="D91" s="680">
        <f>SUMIF(Journal!$D$7:$D$2000,A91,Journal!$G$7:$G$2000)</f>
        <v>65000</v>
      </c>
      <c r="E91" s="680">
        <f t="shared" si="1"/>
        <v>-5000</v>
      </c>
    </row>
    <row r="92" spans="1:5">
      <c r="A92" s="679">
        <f>Compte!A91</f>
        <v>231</v>
      </c>
      <c r="B92" s="679" t="str">
        <f>Compte!B91</f>
        <v>Bâtiments sur sol propre</v>
      </c>
      <c r="C92" s="680">
        <f>SUMIF(Journal!$C$7:$C$2000,A92,Journal!$G$7:$G$2000)</f>
        <v>80000</v>
      </c>
      <c r="D92" s="680">
        <f>SUMIF(Journal!$D$7:$D$2000,A92,Journal!$G$7:$G$2000)</f>
        <v>0</v>
      </c>
      <c r="E92" s="680">
        <f t="shared" si="1"/>
        <v>80000</v>
      </c>
    </row>
    <row r="93" spans="1:5">
      <c r="A93" s="679">
        <f>Compte!A92</f>
        <v>2831</v>
      </c>
      <c r="B93" s="679" t="str">
        <f>Compte!B92</f>
        <v>Amort. bâtim. industriels. sol propre</v>
      </c>
      <c r="C93" s="680">
        <f>SUMIF(Journal!$C$7:$C$2000,A93,Journal!$G$7:$G$2000)</f>
        <v>0</v>
      </c>
      <c r="D93" s="680">
        <f>SUMIF(Journal!$D$7:$D$2000,A93,Journal!$G$7:$G$2000)</f>
        <v>1000</v>
      </c>
      <c r="E93" s="680">
        <f t="shared" si="1"/>
        <v>-1000</v>
      </c>
    </row>
    <row r="94" spans="1:5">
      <c r="A94" s="679">
        <f>Compte!A93</f>
        <v>232</v>
      </c>
      <c r="B94" s="679" t="str">
        <f>Compte!B93</f>
        <v>Bâtiments sur sol d'autrui</v>
      </c>
      <c r="C94" s="680">
        <f>SUMIF(Journal!$C$7:$C$2000,A94,Journal!$G$7:$G$2000)</f>
        <v>20000</v>
      </c>
      <c r="D94" s="680">
        <f>SUMIF(Journal!$D$7:$D$2000,A94,Journal!$G$7:$G$2000)</f>
        <v>0</v>
      </c>
      <c r="E94" s="680">
        <f t="shared" si="1"/>
        <v>20000</v>
      </c>
    </row>
    <row r="95" spans="1:5">
      <c r="A95" s="679">
        <f>Compte!A94</f>
        <v>2832</v>
      </c>
      <c r="B95" s="679" t="str">
        <f>Compte!B94</f>
        <v>Amort. bâtiments. industriels. sol autrui</v>
      </c>
      <c r="C95" s="680">
        <f>SUMIF(Journal!$C$7:$C$2000,A95,Journal!$G$7:$G$2000)</f>
        <v>0</v>
      </c>
      <c r="D95" s="680">
        <f>SUMIF(Journal!$D$7:$D$2000,A95,Journal!$G$7:$G$2000)</f>
        <v>1000</v>
      </c>
      <c r="E95" s="680">
        <f t="shared" si="1"/>
        <v>-1000</v>
      </c>
    </row>
    <row r="96" spans="1:5">
      <c r="A96" s="679">
        <f>Compte!A95</f>
        <v>233</v>
      </c>
      <c r="B96" s="679" t="str">
        <f>Compte!B95</f>
        <v>Ouvrages d'infrastructure</v>
      </c>
      <c r="C96" s="680">
        <f>SUMIF(Journal!$C$7:$C$2000,A96,Journal!$G$7:$G$2000)</f>
        <v>20000</v>
      </c>
      <c r="D96" s="680">
        <f>SUMIF(Journal!$D$7:$D$2000,A96,Journal!$G$7:$G$2000)</f>
        <v>0</v>
      </c>
      <c r="E96" s="680">
        <f t="shared" si="1"/>
        <v>20000</v>
      </c>
    </row>
    <row r="97" spans="1:5">
      <c r="A97" s="679">
        <f>Compte!A96</f>
        <v>2833</v>
      </c>
      <c r="B97" s="679" t="str">
        <f>Compte!B96</f>
        <v>Amortissements. : ouvrages infrastructure</v>
      </c>
      <c r="C97" s="680">
        <f>SUMIF(Journal!$C$7:$C$2000,A97,Journal!$G$7:$G$2000)</f>
        <v>0</v>
      </c>
      <c r="D97" s="680">
        <f>SUMIF(Journal!$D$7:$D$2000,A97,Journal!$G$7:$G$2000)</f>
        <v>1000</v>
      </c>
      <c r="E97" s="680">
        <f t="shared" si="1"/>
        <v>-1000</v>
      </c>
    </row>
    <row r="98" spans="1:5">
      <c r="A98" s="679">
        <f>Compte!A97</f>
        <v>234</v>
      </c>
      <c r="B98" s="679" t="str">
        <f>Compte!B97</f>
        <v>Installations techniques</v>
      </c>
      <c r="C98" s="680">
        <f>SUMIF(Journal!$C$7:$C$2000,A98,Journal!$G$7:$G$2000)</f>
        <v>20000</v>
      </c>
      <c r="D98" s="680">
        <f>SUMIF(Journal!$D$7:$D$2000,A98,Journal!$G$7:$G$2000)</f>
        <v>0</v>
      </c>
      <c r="E98" s="680">
        <f t="shared" si="1"/>
        <v>20000</v>
      </c>
    </row>
    <row r="99" spans="1:5">
      <c r="A99" s="679">
        <f>Compte!A98</f>
        <v>2834</v>
      </c>
      <c r="B99" s="679" t="str">
        <f>Compte!B98</f>
        <v>Amort. : installations. techniques</v>
      </c>
      <c r="C99" s="680">
        <f>SUMIF(Journal!$C$7:$C$2000,A99,Journal!$G$7:$G$2000)</f>
        <v>0</v>
      </c>
      <c r="D99" s="680">
        <f>SUMIF(Journal!$D$7:$D$2000,A99,Journal!$G$7:$G$2000)</f>
        <v>1000</v>
      </c>
      <c r="E99" s="680">
        <f t="shared" si="1"/>
        <v>-1000</v>
      </c>
    </row>
    <row r="100" spans="1:5">
      <c r="A100" s="679">
        <f>Compte!A99</f>
        <v>235</v>
      </c>
      <c r="B100" s="679" t="str">
        <f>Compte!B99</f>
        <v>Aménagement de bureaux</v>
      </c>
      <c r="C100" s="680">
        <f>SUMIF(Journal!$C$7:$C$2000,A100,Journal!$G$7:$G$2000)</f>
        <v>20000</v>
      </c>
      <c r="D100" s="680">
        <f>SUMIF(Journal!$D$7:$D$2000,A100,Journal!$G$7:$G$2000)</f>
        <v>0</v>
      </c>
      <c r="E100" s="680">
        <f t="shared" si="1"/>
        <v>20000</v>
      </c>
    </row>
    <row r="101" spans="1:5">
      <c r="A101" s="679">
        <f>Compte!A100</f>
        <v>2835</v>
      </c>
      <c r="B101" s="679" t="str">
        <f>Compte!B100</f>
        <v>Amortissements. : aménagement. bureaux</v>
      </c>
      <c r="C101" s="680">
        <f>SUMIF(Journal!$C$7:$C$2000,A101,Journal!$G$7:$G$2000)</f>
        <v>0</v>
      </c>
      <c r="D101" s="680">
        <f>SUMIF(Journal!$D$7:$D$2000,A101,Journal!$G$7:$G$2000)</f>
        <v>1000</v>
      </c>
      <c r="E101" s="680">
        <f t="shared" si="1"/>
        <v>-1000</v>
      </c>
    </row>
    <row r="102" spans="1:5">
      <c r="A102" s="679">
        <f>Compte!A101</f>
        <v>241</v>
      </c>
      <c r="B102" s="679" t="str">
        <f>Compte!B101</f>
        <v>Matériel, outillage industriel et commercial</v>
      </c>
      <c r="C102" s="680">
        <f>SUMIF(Journal!$C$7:$C$2000,A102,Journal!$G$7:$G$2000)</f>
        <v>250000</v>
      </c>
      <c r="D102" s="680">
        <f>SUMIF(Journal!$D$7:$D$2000,A102,Journal!$G$7:$G$2000)</f>
        <v>9500</v>
      </c>
      <c r="E102" s="680">
        <f t="shared" si="1"/>
        <v>240500</v>
      </c>
    </row>
    <row r="103" spans="1:5">
      <c r="A103" s="679">
        <f>Compte!A102</f>
        <v>2841</v>
      </c>
      <c r="B103" s="679" t="str">
        <f>Compte!B102</f>
        <v>Amort. mat-outillage industriels.</v>
      </c>
      <c r="C103" s="680">
        <f>SUMIF(Journal!$C$7:$C$2000,A103,Journal!$G$7:$G$2000)</f>
        <v>9000</v>
      </c>
      <c r="D103" s="680">
        <f>SUMIF(Journal!$D$7:$D$2000,A103,Journal!$G$7:$G$2000)</f>
        <v>0</v>
      </c>
      <c r="E103" s="680">
        <f t="shared" si="1"/>
        <v>9000</v>
      </c>
    </row>
    <row r="104" spans="1:5">
      <c r="A104" s="679">
        <f>Compte!A103</f>
        <v>242</v>
      </c>
      <c r="B104" s="679" t="str">
        <f>Compte!B103</f>
        <v>Matériel et outillage agricole</v>
      </c>
      <c r="C104" s="680">
        <f>SUMIF(Journal!$C$7:$C$2000,A104,Journal!$G$7:$G$2000)</f>
        <v>20000</v>
      </c>
      <c r="D104" s="680">
        <f>SUMIF(Journal!$D$7:$D$2000,A104,Journal!$G$7:$G$2000)</f>
        <v>0</v>
      </c>
      <c r="E104" s="680">
        <f t="shared" si="1"/>
        <v>20000</v>
      </c>
    </row>
    <row r="105" spans="1:5">
      <c r="A105" s="679">
        <f>Compte!A104</f>
        <v>2842</v>
      </c>
      <c r="B105" s="679" t="str">
        <f>Compte!B104</f>
        <v>Amort. mat-outillage agricole</v>
      </c>
      <c r="C105" s="680">
        <f>SUMIF(Journal!$C$7:$C$2000,A105,Journal!$G$7:$G$2000)</f>
        <v>0</v>
      </c>
      <c r="D105" s="680">
        <f>SUMIF(Journal!$D$7:$D$2000,A105,Journal!$G$7:$G$2000)</f>
        <v>1000</v>
      </c>
      <c r="E105" s="680">
        <f t="shared" si="1"/>
        <v>-1000</v>
      </c>
    </row>
    <row r="106" spans="1:5">
      <c r="A106" s="679">
        <f>Compte!A105</f>
        <v>243</v>
      </c>
      <c r="B106" s="679" t="str">
        <f>Compte!B105</f>
        <v>Matériel informatique</v>
      </c>
      <c r="C106" s="680">
        <f>SUMIF(Journal!$C$7:$C$2000,A106,Journal!$G$7:$G$2000)</f>
        <v>24000</v>
      </c>
      <c r="D106" s="680">
        <f>SUMIF(Journal!$D$7:$D$2000,A106,Journal!$G$7:$G$2000)</f>
        <v>0</v>
      </c>
      <c r="E106" s="680">
        <f t="shared" si="1"/>
        <v>24000</v>
      </c>
    </row>
    <row r="107" spans="1:5">
      <c r="A107" s="679">
        <f>Compte!A106</f>
        <v>2843</v>
      </c>
      <c r="B107" s="679" t="str">
        <f>Compte!B106</f>
        <v>Amort. Matériel informatique</v>
      </c>
      <c r="C107" s="680">
        <f>SUMIF(Journal!$C$7:$C$2000,A107,Journal!$G$7:$G$2000)</f>
        <v>0</v>
      </c>
      <c r="D107" s="680">
        <f>SUMIF(Journal!$D$7:$D$2000,A107,Journal!$G$7:$G$2000)</f>
        <v>0</v>
      </c>
      <c r="E107" s="680">
        <f t="shared" si="1"/>
        <v>0</v>
      </c>
    </row>
    <row r="108" spans="1:5">
      <c r="A108" s="679">
        <f>Compte!A107</f>
        <v>244</v>
      </c>
      <c r="B108" s="679" t="str">
        <f>Compte!B107</f>
        <v>Matériel mobilier</v>
      </c>
      <c r="C108" s="680">
        <f>SUMIF(Journal!$C$7:$C$2000,A108,Journal!$G$7:$G$2000)</f>
        <v>20000</v>
      </c>
      <c r="D108" s="680">
        <f>SUMIF(Journal!$D$7:$D$2000,A108,Journal!$G$7:$G$2000)</f>
        <v>0</v>
      </c>
      <c r="E108" s="680">
        <f t="shared" si="1"/>
        <v>20000</v>
      </c>
    </row>
    <row r="109" spans="1:5">
      <c r="A109" s="679">
        <f>Compte!A108</f>
        <v>2844</v>
      </c>
      <c r="B109" s="679" t="str">
        <f>Compte!B108</f>
        <v>Amortissement mobilier</v>
      </c>
      <c r="C109" s="680">
        <f>SUMIF(Journal!$C$7:$C$2000,A109,Journal!$G$7:$G$2000)</f>
        <v>0</v>
      </c>
      <c r="D109" s="680">
        <f>SUMIF(Journal!$D$7:$D$2000,A109,Journal!$G$7:$G$2000)</f>
        <v>1000</v>
      </c>
      <c r="E109" s="680">
        <f t="shared" si="1"/>
        <v>-1000</v>
      </c>
    </row>
    <row r="110" spans="1:5">
      <c r="A110" s="679">
        <f>Compte!A109</f>
        <v>245</v>
      </c>
      <c r="B110" s="679" t="str">
        <f>Compte!B109</f>
        <v>Matériel de transport</v>
      </c>
      <c r="C110" s="680">
        <f>SUMIF(Journal!$C$7:$C$2000,A110,Journal!$G$7:$G$2000)</f>
        <v>20000</v>
      </c>
      <c r="D110" s="680">
        <f>SUMIF(Journal!$D$7:$D$2000,A110,Journal!$G$7:$G$2000)</f>
        <v>0</v>
      </c>
      <c r="E110" s="680">
        <f t="shared" si="1"/>
        <v>20000</v>
      </c>
    </row>
    <row r="111" spans="1:5">
      <c r="A111" s="679">
        <f>Compte!A110</f>
        <v>2845</v>
      </c>
      <c r="B111" s="679" t="str">
        <f>Compte!B110</f>
        <v>Amortissement matériel transport</v>
      </c>
      <c r="C111" s="680">
        <f>SUMIF(Journal!$C$7:$C$2000,A111,Journal!$G$7:$G$2000)</f>
        <v>0</v>
      </c>
      <c r="D111" s="680">
        <f>SUMIF(Journal!$D$7:$D$2000,A111,Journal!$G$7:$G$2000)</f>
        <v>1000</v>
      </c>
      <c r="E111" s="680">
        <f t="shared" si="1"/>
        <v>-1000</v>
      </c>
    </row>
    <row r="112" spans="1:5">
      <c r="A112" s="679">
        <f>Compte!A111</f>
        <v>246</v>
      </c>
      <c r="B112" s="679" t="str">
        <f>Compte!B111</f>
        <v>Immobilisations. animales, agricoles</v>
      </c>
      <c r="C112" s="680">
        <f>SUMIF(Journal!$C$7:$C$2000,A112,Journal!$G$7:$G$2000)</f>
        <v>20000</v>
      </c>
      <c r="D112" s="680">
        <f>SUMIF(Journal!$D$7:$D$2000,A112,Journal!$G$7:$G$2000)</f>
        <v>0</v>
      </c>
      <c r="E112" s="680">
        <f t="shared" si="1"/>
        <v>20000</v>
      </c>
    </row>
    <row r="113" spans="1:5">
      <c r="A113" s="679">
        <f>Compte!A112</f>
        <v>2846</v>
      </c>
      <c r="B113" s="679" t="str">
        <f>Compte!B112</f>
        <v>Amort. : immobilisations. animales, agric.</v>
      </c>
      <c r="C113" s="680">
        <f>SUMIF(Journal!$C$7:$C$2000,A113,Journal!$G$7:$G$2000)</f>
        <v>0</v>
      </c>
      <c r="D113" s="680">
        <f>SUMIF(Journal!$D$7:$D$2000,A113,Journal!$G$7:$G$2000)</f>
        <v>1000</v>
      </c>
      <c r="E113" s="680">
        <f t="shared" si="1"/>
        <v>-1000</v>
      </c>
    </row>
    <row r="114" spans="1:5">
      <c r="A114" s="679">
        <f>Compte!A113</f>
        <v>249</v>
      </c>
      <c r="B114" s="679" t="str">
        <f>Compte!B113</f>
        <v>Autres immobilisations corporelles en cours</v>
      </c>
      <c r="C114" s="680">
        <f>SUMIF(Journal!$C$7:$C$2000,A114,Journal!$G$7:$G$2000)</f>
        <v>70000</v>
      </c>
      <c r="D114" s="680">
        <f>SUMIF(Journal!$D$7:$D$2000,A114,Journal!$G$7:$G$2000)</f>
        <v>50000</v>
      </c>
      <c r="E114" s="680">
        <f t="shared" si="1"/>
        <v>20000</v>
      </c>
    </row>
    <row r="115" spans="1:5">
      <c r="A115" s="679">
        <f>Compte!A114</f>
        <v>2849</v>
      </c>
      <c r="B115" s="679" t="str">
        <f>Compte!B114</f>
        <v>Amortissements. : autres immobilisations corporelles en cours</v>
      </c>
      <c r="C115" s="680">
        <f>SUMIF(Journal!$C$7:$C$2000,A115,Journal!$G$7:$G$2000)</f>
        <v>0</v>
      </c>
      <c r="D115" s="680">
        <f>SUMIF(Journal!$D$7:$D$2000,A115,Journal!$G$7:$G$2000)</f>
        <v>1000</v>
      </c>
      <c r="E115" s="680">
        <f t="shared" si="1"/>
        <v>-1000</v>
      </c>
    </row>
    <row r="116" spans="1:5">
      <c r="A116" s="679">
        <f>Compte!A115</f>
        <v>250</v>
      </c>
      <c r="B116" s="679" t="str">
        <f>Compte!B115</f>
        <v>Avances, acomptes versés sur immobilisations</v>
      </c>
      <c r="C116" s="680">
        <f>SUMIF(Journal!$C$7:$C$2000,A116,Journal!$G$7:$G$2000)</f>
        <v>0</v>
      </c>
      <c r="D116" s="680">
        <f>SUMIF(Journal!$D$7:$D$2000,A116,Journal!$G$7:$G$2000)</f>
        <v>0</v>
      </c>
      <c r="E116" s="680">
        <f t="shared" si="1"/>
        <v>0</v>
      </c>
    </row>
    <row r="117" spans="1:5">
      <c r="A117" s="679">
        <f>Compte!A116</f>
        <v>260</v>
      </c>
      <c r="B117" s="679" t="str">
        <f>Compte!B116</f>
        <v xml:space="preserve"> Participations</v>
      </c>
      <c r="C117" s="680">
        <f>SUMIF(Journal!$C$7:$C$2000,A117,Journal!$G$7:$G$2000)</f>
        <v>1000</v>
      </c>
      <c r="D117" s="680">
        <f>SUMIF(Journal!$D$7:$D$2000,A117,Journal!$G$7:$G$2000)</f>
        <v>2000</v>
      </c>
      <c r="E117" s="680">
        <f t="shared" si="1"/>
        <v>-1000</v>
      </c>
    </row>
    <row r="118" spans="1:5">
      <c r="A118" s="679">
        <f>Compte!A117</f>
        <v>266</v>
      </c>
      <c r="B118" s="679" t="str">
        <f>Compte!B117</f>
        <v xml:space="preserve"> Créances rattachées à des participations</v>
      </c>
      <c r="C118" s="680">
        <f>SUMIF(Journal!$C$7:$C$2000,A118,Journal!$G$7:$G$2000)</f>
        <v>200</v>
      </c>
      <c r="D118" s="680">
        <f>SUMIF(Journal!$D$7:$D$2000,A118,Journal!$G$7:$G$2000)</f>
        <v>0</v>
      </c>
      <c r="E118" s="680">
        <f t="shared" si="1"/>
        <v>200</v>
      </c>
    </row>
    <row r="119" spans="1:5">
      <c r="A119" s="679">
        <f>Compte!A118</f>
        <v>271</v>
      </c>
      <c r="B119" s="679" t="str">
        <f>Compte!B118</f>
        <v>Titres immobilisés actions</v>
      </c>
      <c r="C119" s="680">
        <f>SUMIF(Journal!$C$7:$C$2000,A119,Journal!$G$7:$G$2000)</f>
        <v>200</v>
      </c>
      <c r="D119" s="680">
        <f>SUMIF(Journal!$D$7:$D$2000,A119,Journal!$G$7:$G$2000)</f>
        <v>200</v>
      </c>
      <c r="E119" s="680">
        <f t="shared" si="1"/>
        <v>0</v>
      </c>
    </row>
    <row r="120" spans="1:5">
      <c r="A120" s="679">
        <f>Compte!A119</f>
        <v>272</v>
      </c>
      <c r="B120" s="679" t="str">
        <f>Compte!B119</f>
        <v>Titres immobilisés obligations</v>
      </c>
      <c r="C120" s="680">
        <f>SUMIF(Journal!$C$7:$C$2000,A120,Journal!$G$7:$G$2000)</f>
        <v>10000</v>
      </c>
      <c r="D120" s="680">
        <f>SUMIF(Journal!$D$7:$D$2000,A120,Journal!$G$7:$G$2000)</f>
        <v>0</v>
      </c>
      <c r="E120" s="680">
        <f t="shared" si="1"/>
        <v>10000</v>
      </c>
    </row>
    <row r="121" spans="1:5">
      <c r="A121" s="679">
        <f>Compte!A120</f>
        <v>274</v>
      </c>
      <c r="B121" s="679" t="str">
        <f>Compte!B120</f>
        <v xml:space="preserve"> Prêts consentits par l'entreprise</v>
      </c>
      <c r="C121" s="680">
        <f>SUMIF(Journal!$C$7:$C$2000,A121,Journal!$G$7:$G$2000)</f>
        <v>0</v>
      </c>
      <c r="D121" s="680">
        <f>SUMIF(Journal!$D$7:$D$2000,A121,Journal!$G$7:$G$2000)</f>
        <v>0</v>
      </c>
      <c r="E121" s="680">
        <f t="shared" si="1"/>
        <v>0</v>
      </c>
    </row>
    <row r="122" spans="1:5">
      <c r="A122" s="679">
        <f>Compte!A121</f>
        <v>275</v>
      </c>
      <c r="B122" s="679" t="str">
        <f>Compte!B121</f>
        <v>Dépôt et Cautionnement versé par l'entreprise</v>
      </c>
      <c r="C122" s="680">
        <f>SUMIF(Journal!$C$7:$C$2000,A122,Journal!$G$7:$G$2000)</f>
        <v>0</v>
      </c>
      <c r="D122" s="680">
        <f>SUMIF(Journal!$D$7:$D$2000,A122,Journal!$G$7:$G$2000)</f>
        <v>0</v>
      </c>
      <c r="E122" s="680">
        <f t="shared" si="1"/>
        <v>0</v>
      </c>
    </row>
    <row r="123" spans="1:5">
      <c r="A123" s="679">
        <f>Compte!A122</f>
        <v>279</v>
      </c>
      <c r="B123" s="679" t="str">
        <f>Compte!B122</f>
        <v xml:space="preserve"> Autres créances</v>
      </c>
      <c r="C123" s="680">
        <f>SUMIF(Journal!$C$7:$C$2000,A123,Journal!$G$7:$G$2000)</f>
        <v>90400</v>
      </c>
      <c r="D123" s="680">
        <f>SUMIF(Journal!$D$7:$D$2000,A123,Journal!$G$7:$G$2000)</f>
        <v>0</v>
      </c>
      <c r="E123" s="680">
        <f t="shared" si="1"/>
        <v>90400</v>
      </c>
    </row>
    <row r="124" spans="1:5">
      <c r="A124" s="679">
        <f>Compte!A123</f>
        <v>310</v>
      </c>
      <c r="B124" s="679" t="str">
        <f>Compte!B123</f>
        <v xml:space="preserve">Marchandises </v>
      </c>
      <c r="C124" s="680">
        <f>SUMIF(Journal!$C$7:$C$2000,A124,Journal!$G$7:$G$2000)</f>
        <v>0</v>
      </c>
      <c r="D124" s="680">
        <f>SUMIF(Journal!$D$7:$D$2000,A124,Journal!$G$7:$G$2000)</f>
        <v>20000</v>
      </c>
      <c r="E124" s="680">
        <f t="shared" si="1"/>
        <v>-20000</v>
      </c>
    </row>
    <row r="125" spans="1:5">
      <c r="A125" s="679">
        <f>Compte!A124</f>
        <v>320</v>
      </c>
      <c r="B125" s="679" t="str">
        <f>Compte!B124</f>
        <v>Matières premières, fournitures</v>
      </c>
      <c r="C125" s="680">
        <f>SUMIF(Journal!$C$7:$C$2000,A125,Journal!$G$7:$G$2000)</f>
        <v>30000</v>
      </c>
      <c r="D125" s="680">
        <f>SUMIF(Journal!$D$7:$D$2000,A125,Journal!$G$7:$G$2000)</f>
        <v>30000</v>
      </c>
      <c r="E125" s="680">
        <f t="shared" si="1"/>
        <v>0</v>
      </c>
    </row>
    <row r="126" spans="1:5">
      <c r="A126" s="679">
        <f>Compte!A125</f>
        <v>330</v>
      </c>
      <c r="B126" s="679" t="str">
        <f>Compte!B125</f>
        <v>Autres approvisionnements, emballage récup</v>
      </c>
      <c r="C126" s="680">
        <f>SUMIF(Journal!$C$7:$C$2000,A126,Journal!$G$7:$G$2000)</f>
        <v>20000</v>
      </c>
      <c r="D126" s="680">
        <f>SUMIF(Journal!$D$7:$D$2000,A126,Journal!$G$7:$G$2000)</f>
        <v>20000</v>
      </c>
      <c r="E126" s="680">
        <f t="shared" si="1"/>
        <v>0</v>
      </c>
    </row>
    <row r="127" spans="1:5">
      <c r="A127" s="679">
        <f>Compte!A126</f>
        <v>340</v>
      </c>
      <c r="B127" s="679" t="str">
        <f>Compte!B126</f>
        <v>En-cours de produits</v>
      </c>
      <c r="C127" s="680">
        <f>SUMIF(Journal!$C$7:$C$2000,A127,Journal!$G$7:$G$2000)</f>
        <v>10000</v>
      </c>
      <c r="D127" s="680">
        <f>SUMIF(Journal!$D$7:$D$2000,A127,Journal!$G$7:$G$2000)</f>
        <v>20000</v>
      </c>
      <c r="E127" s="680">
        <f t="shared" si="1"/>
        <v>-10000</v>
      </c>
    </row>
    <row r="128" spans="1:5">
      <c r="A128" s="679">
        <f>Compte!A127</f>
        <v>361</v>
      </c>
      <c r="B128" s="679" t="str">
        <f>Compte!B127</f>
        <v>Stock de produits finis</v>
      </c>
      <c r="C128" s="680">
        <f>SUMIF(Journal!$C$7:$C$2000,A128,Journal!$G$7:$G$2000)</f>
        <v>1500</v>
      </c>
      <c r="D128" s="680">
        <f>SUMIF(Journal!$D$7:$D$2000,A128,Journal!$G$7:$G$2000)</f>
        <v>500</v>
      </c>
      <c r="E128" s="680">
        <f t="shared" si="1"/>
        <v>1000</v>
      </c>
    </row>
    <row r="129" spans="1:5">
      <c r="A129" s="679">
        <f>Compte!A128</f>
        <v>370</v>
      </c>
      <c r="B129" s="679" t="str">
        <f>Compte!B128</f>
        <v>Produits intermèdiaires., résiduels</v>
      </c>
      <c r="C129" s="680">
        <f>SUMIF(Journal!$C$7:$C$2000,A129,Journal!$G$7:$G$2000)</f>
        <v>10000</v>
      </c>
      <c r="D129" s="680">
        <f>SUMIF(Journal!$D$7:$D$2000,A129,Journal!$G$7:$G$2000)</f>
        <v>20000</v>
      </c>
      <c r="E129" s="680">
        <f t="shared" si="1"/>
        <v>-10000</v>
      </c>
    </row>
    <row r="130" spans="1:5">
      <c r="A130" s="679">
        <f>Compte!A129</f>
        <v>411</v>
      </c>
      <c r="B130" s="679" t="str">
        <f>Compte!B129</f>
        <v>Clients</v>
      </c>
      <c r="C130" s="680">
        <f>SUMIF(Journal!$C$7:$C$2000,A130,Journal!$G$7:$G$2000)</f>
        <v>1106450</v>
      </c>
      <c r="D130" s="680">
        <f>SUMIF(Journal!$D$7:$D$2000,A130,Journal!$G$7:$G$2000)</f>
        <v>852</v>
      </c>
      <c r="E130" s="680">
        <f t="shared" si="1"/>
        <v>1105598</v>
      </c>
    </row>
    <row r="131" spans="1:5">
      <c r="A131" s="679">
        <f>Compte!A130</f>
        <v>4115</v>
      </c>
      <c r="B131" s="679" t="str">
        <f>Compte!B130</f>
        <v>client et organismes étrangers</v>
      </c>
      <c r="C131" s="680">
        <f>SUMIF(Journal!$C$7:$C$2000,A131,Journal!$G$7:$G$2000)</f>
        <v>62820</v>
      </c>
      <c r="D131" s="680">
        <f>SUMIF(Journal!$D$7:$D$2000,A131,Journal!$G$7:$G$2000)</f>
        <v>0</v>
      </c>
      <c r="E131" s="680">
        <f t="shared" si="1"/>
        <v>62820</v>
      </c>
    </row>
    <row r="132" spans="1:5">
      <c r="A132" s="679">
        <f>Compte!A131</f>
        <v>412</v>
      </c>
      <c r="B132" s="679" t="str">
        <f>Compte!B131</f>
        <v>Clients, effets à recevoir</v>
      </c>
      <c r="C132" s="680">
        <f>SUMIF(Journal!$C$7:$C$2000,A132,Journal!$G$7:$G$2000)</f>
        <v>500</v>
      </c>
      <c r="D132" s="680">
        <f>SUMIF(Journal!$D$7:$D$2000,A132,Journal!$G$7:$G$2000)</f>
        <v>0</v>
      </c>
      <c r="E132" s="680">
        <f t="shared" si="1"/>
        <v>500</v>
      </c>
    </row>
    <row r="133" spans="1:5">
      <c r="A133" s="679">
        <f>Compte!A132</f>
        <v>414</v>
      </c>
      <c r="B133" s="679" t="str">
        <f>Compte!B132</f>
        <v>Créances Cessions. courantes immobilisations.</v>
      </c>
      <c r="C133" s="680">
        <f>SUMIF(Journal!$C$7:$C$2000,A133,Journal!$G$7:$G$2000)</f>
        <v>0</v>
      </c>
      <c r="D133" s="680">
        <f>SUMIF(Journal!$D$7:$D$2000,A133,Journal!$G$7:$G$2000)</f>
        <v>0</v>
      </c>
      <c r="E133" s="680">
        <f t="shared" ref="E133:E196" si="2">C133-D133</f>
        <v>0</v>
      </c>
    </row>
    <row r="134" spans="1:5">
      <c r="A134" s="679">
        <f>Compte!A133</f>
        <v>415</v>
      </c>
      <c r="B134" s="679" t="str">
        <f>Compte!B133</f>
        <v>Clients effets. escomptés non échus</v>
      </c>
      <c r="C134" s="680">
        <f>SUMIF(Journal!$C$7:$C$2000,A134,Journal!$G$7:$G$2000)</f>
        <v>0</v>
      </c>
      <c r="D134" s="680">
        <f>SUMIF(Journal!$D$7:$D$2000,A134,Journal!$G$7:$G$2000)</f>
        <v>0</v>
      </c>
      <c r="E134" s="680">
        <f t="shared" si="2"/>
        <v>0</v>
      </c>
    </row>
    <row r="135" spans="1:5">
      <c r="A135" s="679">
        <f>Compte!A134</f>
        <v>416</v>
      </c>
      <c r="B135" s="679" t="str">
        <f>Compte!B134</f>
        <v>Créances litigieuses douteuses</v>
      </c>
      <c r="C135" s="680">
        <f>SUMIF(Journal!$C$7:$C$2000,A135,Journal!$G$7:$G$2000)</f>
        <v>0</v>
      </c>
      <c r="D135" s="680">
        <f>SUMIF(Journal!$D$7:$D$2000,A135,Journal!$G$7:$G$2000)</f>
        <v>0</v>
      </c>
      <c r="E135" s="680">
        <f t="shared" si="2"/>
        <v>0</v>
      </c>
    </row>
    <row r="136" spans="1:5">
      <c r="A136" s="679">
        <f>Compte!A135</f>
        <v>418</v>
      </c>
      <c r="B136" s="679" t="str">
        <f>Compte!B135</f>
        <v>clients debiteurs facture à etablir</v>
      </c>
      <c r="C136" s="680">
        <f>SUMIF(Journal!$C$7:$C$2000,A136,Journal!$G$7:$G$2000)</f>
        <v>0</v>
      </c>
      <c r="D136" s="680">
        <f>SUMIF(Journal!$D$7:$D$2000,A136,Journal!$G$7:$G$2000)</f>
        <v>0</v>
      </c>
      <c r="E136" s="680">
        <f t="shared" si="2"/>
        <v>0</v>
      </c>
    </row>
    <row r="137" spans="1:5">
      <c r="A137" s="679">
        <f>Compte!A136</f>
        <v>419</v>
      </c>
      <c r="B137" s="679" t="str">
        <f>Compte!B136</f>
        <v>clients  acptes et avces  reçues</v>
      </c>
      <c r="C137" s="680">
        <f>SUMIF(Journal!$C$7:$C$2000,A137,Journal!$G$7:$G$2000)</f>
        <v>50</v>
      </c>
      <c r="D137" s="680">
        <f>SUMIF(Journal!$D$7:$D$2000,A137,Journal!$G$7:$G$2000)</f>
        <v>50</v>
      </c>
      <c r="E137" s="680">
        <f t="shared" si="2"/>
        <v>0</v>
      </c>
    </row>
    <row r="138" spans="1:5">
      <c r="A138" s="679">
        <f>Compte!A137</f>
        <v>4194</v>
      </c>
      <c r="B138" s="679" t="str">
        <f>Compte!B137</f>
        <v>Clients, dettes pour emballages et matériels consigné</v>
      </c>
      <c r="C138" s="680">
        <f>SUMIF(Journal!$C$7:$C$2000,A138,Journal!$G$7:$G$2000)</f>
        <v>300</v>
      </c>
      <c r="D138" s="680">
        <f>SUMIF(Journal!$D$7:$D$2000,A138,Journal!$G$7:$G$2000)</f>
        <v>100</v>
      </c>
      <c r="E138" s="680">
        <f t="shared" si="2"/>
        <v>200</v>
      </c>
    </row>
    <row r="139" spans="1:5">
      <c r="A139" s="679">
        <f>Compte!A138</f>
        <v>421</v>
      </c>
      <c r="B139" s="679" t="str">
        <f>Compte!B138</f>
        <v>Personnel, avances, acomptes salaires</v>
      </c>
      <c r="C139" s="680">
        <f>SUMIF(Journal!$C$7:$C$2000,A139,Journal!$G$7:$G$2000)</f>
        <v>20000</v>
      </c>
      <c r="D139" s="680">
        <f>SUMIF(Journal!$D$7:$D$2000,A139,Journal!$G$7:$G$2000)</f>
        <v>20000</v>
      </c>
      <c r="E139" s="680">
        <f t="shared" si="2"/>
        <v>0</v>
      </c>
    </row>
    <row r="140" spans="1:5">
      <c r="A140" s="679">
        <f>Compte!A139</f>
        <v>422</v>
      </c>
      <c r="B140" s="679" t="str">
        <f>Compte!B139</f>
        <v>Personnel rémunérations dues</v>
      </c>
      <c r="C140" s="680">
        <f>SUMIF(Journal!$C$7:$C$2000,A140,Journal!$G$7:$G$2000)</f>
        <v>260000</v>
      </c>
      <c r="D140" s="680">
        <f>SUMIF(Journal!$D$7:$D$2000,A140,Journal!$G$7:$G$2000)</f>
        <v>200000</v>
      </c>
      <c r="E140" s="680">
        <f t="shared" si="2"/>
        <v>60000</v>
      </c>
    </row>
    <row r="141" spans="1:5">
      <c r="A141" s="679">
        <f>Compte!A140</f>
        <v>4611</v>
      </c>
      <c r="B141" s="679" t="str">
        <f>Compte!B140</f>
        <v>Associés apports en nature</v>
      </c>
      <c r="C141" s="680">
        <f>SUMIF(Journal!$C$7:$C$2000,A141,Journal!$G$7:$G$2000)</f>
        <v>0</v>
      </c>
      <c r="D141" s="680">
        <f>SUMIF(Journal!$D$7:$D$2000,A141,Journal!$G$7:$G$2000)</f>
        <v>0</v>
      </c>
      <c r="E141" s="680">
        <f t="shared" si="2"/>
        <v>0</v>
      </c>
    </row>
    <row r="142" spans="1:5">
      <c r="A142" s="679">
        <f>Compte!A141</f>
        <v>4612</v>
      </c>
      <c r="B142" s="679" t="str">
        <f>Compte!B141</f>
        <v>Associés apports en numéraire</v>
      </c>
      <c r="C142" s="680">
        <f>SUMIF(Journal!$C$7:$C$2000,A142,Journal!$G$7:$G$2000)</f>
        <v>0</v>
      </c>
      <c r="D142" s="680">
        <f>SUMIF(Journal!$D$7:$D$2000,A142,Journal!$G$7:$G$2000)</f>
        <v>0</v>
      </c>
      <c r="E142" s="680">
        <f t="shared" si="2"/>
        <v>0</v>
      </c>
    </row>
    <row r="143" spans="1:5">
      <c r="A143" s="679">
        <f>Compte!A142</f>
        <v>4613</v>
      </c>
      <c r="B143" s="679" t="str">
        <f>Compte!B142</f>
        <v>Associés, Actionnaires, capital souscrit appelé non versé</v>
      </c>
      <c r="C143" s="680">
        <f>SUMIF(Journal!$C$7:$C$2000,A143,Journal!$G$7:$G$2000)</f>
        <v>0</v>
      </c>
      <c r="D143" s="680">
        <f>SUMIF(Journal!$D$7:$D$2000,A143,Journal!$G$7:$G$2000)</f>
        <v>0</v>
      </c>
      <c r="E143" s="680">
        <f t="shared" si="2"/>
        <v>0</v>
      </c>
    </row>
    <row r="144" spans="1:5">
      <c r="A144" s="679">
        <f>Compte!A143</f>
        <v>4615</v>
      </c>
      <c r="B144" s="679" t="str">
        <f>Compte!B143</f>
        <v>Associés, versements reçus sur augmentation de capital</v>
      </c>
      <c r="C144" s="680">
        <f>SUMIF(Journal!$C$7:$C$2000,A144,Journal!$G$7:$G$2000)</f>
        <v>0</v>
      </c>
      <c r="D144" s="680">
        <f>SUMIF(Journal!$D$7:$D$2000,A144,Journal!$G$7:$G$2000)</f>
        <v>0</v>
      </c>
      <c r="E144" s="680">
        <f t="shared" si="2"/>
        <v>0</v>
      </c>
    </row>
    <row r="145" spans="1:5">
      <c r="A145" s="679">
        <f>Compte!A144</f>
        <v>4618</v>
      </c>
      <c r="B145" s="679" t="str">
        <f>Compte!B144</f>
        <v>Associés, autres apports</v>
      </c>
      <c r="C145" s="680">
        <f>SUMIF(Journal!$C$7:$C$2000,A145,Journal!$G$7:$G$2000)</f>
        <v>0</v>
      </c>
      <c r="D145" s="680">
        <f>SUMIF(Journal!$D$7:$D$2000,A145,Journal!$G$7:$G$2000)</f>
        <v>0</v>
      </c>
      <c r="E145" s="680">
        <f t="shared" si="2"/>
        <v>0</v>
      </c>
    </row>
    <row r="146" spans="1:5">
      <c r="A146" s="679">
        <f>Compte!A145</f>
        <v>4620</v>
      </c>
      <c r="B146" s="679" t="str">
        <f>Compte!B145</f>
        <v>Associés, compte courant</v>
      </c>
      <c r="C146" s="680">
        <f>SUMIF(Journal!$C$7:$C$2000,A146,Journal!$G$7:$G$2000)</f>
        <v>0</v>
      </c>
      <c r="D146" s="680">
        <f>SUMIF(Journal!$D$7:$D$2000,A146,Journal!$G$7:$G$2000)</f>
        <v>0</v>
      </c>
      <c r="E146" s="680">
        <f t="shared" si="2"/>
        <v>0</v>
      </c>
    </row>
    <row r="147" spans="1:5">
      <c r="A147" s="679" t="str">
        <f>Compte!A146</f>
        <v>4449-476</v>
      </c>
      <c r="B147" s="679" t="str">
        <f>Compte!B146</f>
        <v>Autres créances</v>
      </c>
      <c r="C147" s="680">
        <f>SUMIF(Journal!$C$7:$C$2000,A147,Journal!$G$7:$G$2000)</f>
        <v>0</v>
      </c>
      <c r="D147" s="680">
        <f>SUMIF(Journal!$D$7:$D$2000,A147,Journal!$G$7:$G$2000)</f>
        <v>0</v>
      </c>
      <c r="E147" s="680">
        <f t="shared" si="2"/>
        <v>0</v>
      </c>
    </row>
    <row r="148" spans="1:5">
      <c r="A148" s="679">
        <f>Compte!A147</f>
        <v>501</v>
      </c>
      <c r="B148" s="679" t="str">
        <f>Compte!B147</f>
        <v>VMP actions</v>
      </c>
      <c r="C148" s="680">
        <f>SUMIF(Journal!$C$7:$C$2000,A148,Journal!$G$7:$G$2000)</f>
        <v>5000</v>
      </c>
      <c r="D148" s="680">
        <f>SUMIF(Journal!$D$7:$D$2000,A148,Journal!$G$7:$G$2000)</f>
        <v>3000</v>
      </c>
      <c r="E148" s="680">
        <f t="shared" si="2"/>
        <v>2000</v>
      </c>
    </row>
    <row r="149" spans="1:5">
      <c r="A149" s="679">
        <f>Compte!A148</f>
        <v>502</v>
      </c>
      <c r="B149" s="679" t="str">
        <f>Compte!B148</f>
        <v>Actions propres</v>
      </c>
      <c r="C149" s="680">
        <f>SUMIF(Journal!$C$7:$C$2000,A149,Journal!$G$7:$G$2000)</f>
        <v>0</v>
      </c>
      <c r="D149" s="680">
        <f>SUMIF(Journal!$D$7:$D$2000,A149,Journal!$G$7:$G$2000)</f>
        <v>0</v>
      </c>
      <c r="E149" s="680">
        <f t="shared" si="2"/>
        <v>0</v>
      </c>
    </row>
    <row r="150" spans="1:5">
      <c r="A150" s="679">
        <f>Compte!A149</f>
        <v>506</v>
      </c>
      <c r="B150" s="679" t="str">
        <f>Compte!B149</f>
        <v xml:space="preserve">VMP Obligations </v>
      </c>
      <c r="C150" s="680">
        <f>SUMIF(Journal!$C$7:$C$2000,A150,Journal!$G$7:$G$2000)</f>
        <v>10000</v>
      </c>
      <c r="D150" s="680">
        <f>SUMIF(Journal!$D$7:$D$2000,A150,Journal!$G$7:$G$2000)</f>
        <v>5000</v>
      </c>
      <c r="E150" s="680">
        <f t="shared" si="2"/>
        <v>5000</v>
      </c>
    </row>
    <row r="151" spans="1:5">
      <c r="A151" s="679">
        <f>Compte!A150</f>
        <v>507</v>
      </c>
      <c r="B151" s="679" t="str">
        <f>Compte!B150</f>
        <v>Bons du Trésor et bons de caisse à CT</v>
      </c>
      <c r="C151" s="680">
        <f>SUMIF(Journal!$C$7:$C$2000,A151,Journal!$G$7:$G$2000)</f>
        <v>0</v>
      </c>
      <c r="D151" s="680">
        <f>SUMIF(Journal!$D$7:$D$2000,A151,Journal!$G$7:$G$2000)</f>
        <v>0</v>
      </c>
      <c r="E151" s="680">
        <f t="shared" si="2"/>
        <v>0</v>
      </c>
    </row>
    <row r="152" spans="1:5">
      <c r="A152" s="679">
        <f>Compte!A151</f>
        <v>508</v>
      </c>
      <c r="B152" s="679" t="str">
        <f>Compte!B151</f>
        <v>Autres VMP et créances assimilées</v>
      </c>
      <c r="C152" s="680">
        <f>SUMIF(Journal!$C$7:$C$2000,A152,Journal!$G$7:$G$2000)</f>
        <v>0</v>
      </c>
      <c r="D152" s="680">
        <f>SUMIF(Journal!$D$7:$D$2000,A152,Journal!$G$7:$G$2000)</f>
        <v>0</v>
      </c>
      <c r="E152" s="680">
        <f t="shared" si="2"/>
        <v>0</v>
      </c>
    </row>
    <row r="153" spans="1:5">
      <c r="A153" s="679">
        <f>Compte!A152</f>
        <v>520</v>
      </c>
      <c r="B153" s="679" t="str">
        <f>Compte!B152</f>
        <v>Banques cpte en monnaie nationale</v>
      </c>
      <c r="C153" s="680">
        <f>SUMIF(Journal!$C$7:$C$2000,A153,Journal!$G$7:$G$2000)</f>
        <v>88545</v>
      </c>
      <c r="D153" s="680">
        <f>SUMIF(Journal!$D$7:$D$2000,A153,Journal!$G$7:$G$2000)</f>
        <v>1688620</v>
      </c>
      <c r="E153" s="680">
        <f t="shared" si="2"/>
        <v>-1600075</v>
      </c>
    </row>
    <row r="154" spans="1:5">
      <c r="A154" s="679">
        <f>Compte!A153</f>
        <v>524</v>
      </c>
      <c r="B154" s="679" t="str">
        <f>Compte!B153</f>
        <v>Banques hors Zone Franc</v>
      </c>
      <c r="C154" s="680">
        <f>SUMIF(Journal!$C$7:$C$2000,A154,Journal!$G$7:$G$2000)</f>
        <v>0</v>
      </c>
      <c r="D154" s="680">
        <f>SUMIF(Journal!$D$7:$D$2000,A154,Journal!$G$7:$G$2000)</f>
        <v>0</v>
      </c>
      <c r="E154" s="680">
        <f t="shared" si="2"/>
        <v>0</v>
      </c>
    </row>
    <row r="155" spans="1:5">
      <c r="A155" s="679">
        <f>Compte!A154</f>
        <v>545</v>
      </c>
      <c r="B155" s="679" t="str">
        <f>Compte!B154</f>
        <v>Avoirs or, autres. métaux précieux</v>
      </c>
      <c r="C155" s="680">
        <f>SUMIF(Journal!$C$7:$C$2000,A155,Journal!$G$7:$G$2000)</f>
        <v>0</v>
      </c>
      <c r="D155" s="680">
        <f>SUMIF(Journal!$D$7:$D$2000,A155,Journal!$G$7:$G$2000)</f>
        <v>0</v>
      </c>
      <c r="E155" s="680">
        <f t="shared" si="2"/>
        <v>0</v>
      </c>
    </row>
    <row r="156" spans="1:5">
      <c r="A156" s="679">
        <f>Compte!A155</f>
        <v>531</v>
      </c>
      <c r="B156" s="679" t="str">
        <f>Compte!B155</f>
        <v>Compte postal</v>
      </c>
      <c r="C156" s="680">
        <f>SUMIF(Journal!$C$7:$C$2000,A156,Journal!$G$7:$G$2000)</f>
        <v>0</v>
      </c>
      <c r="D156" s="680">
        <f>SUMIF(Journal!$D$7:$D$2000,A156,Journal!$G$7:$G$2000)</f>
        <v>0</v>
      </c>
      <c r="E156" s="680">
        <f t="shared" si="2"/>
        <v>0</v>
      </c>
    </row>
    <row r="157" spans="1:5">
      <c r="A157" s="679">
        <f>Compte!A156</f>
        <v>570</v>
      </c>
      <c r="B157" s="679" t="str">
        <f>Compte!B156</f>
        <v>Caisses</v>
      </c>
      <c r="C157" s="680">
        <f>SUMIF(Journal!$C$7:$C$2000,A157,Journal!$G$7:$G$2000)</f>
        <v>0</v>
      </c>
      <c r="D157" s="680">
        <f>SUMIF(Journal!$D$7:$D$2000,A157,Journal!$G$7:$G$2000)</f>
        <v>220</v>
      </c>
      <c r="E157" s="680">
        <f t="shared" si="2"/>
        <v>-220</v>
      </c>
    </row>
    <row r="158" spans="1:5">
      <c r="A158" s="679">
        <f>Compte!A157</f>
        <v>476</v>
      </c>
      <c r="B158" s="679" t="str">
        <f>Compte!B157</f>
        <v>Actif de régulation (Charge payée d'avance, produit à recevoir)</v>
      </c>
      <c r="C158" s="680">
        <f>SUMIF(Journal!$C$7:$C$2000,A158,Journal!$G$7:$G$2000)</f>
        <v>16500</v>
      </c>
      <c r="D158" s="680">
        <f>SUMIF(Journal!$D$7:$D$2000,A158,Journal!$G$7:$G$2000)</f>
        <v>0</v>
      </c>
      <c r="E158" s="680">
        <f t="shared" si="2"/>
        <v>16500</v>
      </c>
    </row>
    <row r="159" spans="1:5">
      <c r="A159" s="679">
        <f>Compte!A158</f>
        <v>202</v>
      </c>
      <c r="B159" s="679" t="str">
        <f>Compte!B158</f>
        <v>Charges étaler sur +sieurs exercices</v>
      </c>
      <c r="C159" s="680">
        <f>SUMIF(Journal!$C$7:$C$2000,A159,Journal!$G$7:$G$2000)</f>
        <v>0</v>
      </c>
      <c r="D159" s="680">
        <f>SUMIF(Journal!$D$7:$D$2000,A159,Journal!$G$7:$G$2000)</f>
        <v>0</v>
      </c>
      <c r="E159" s="680">
        <f t="shared" si="2"/>
        <v>0</v>
      </c>
    </row>
    <row r="160" spans="1:5">
      <c r="A160" s="679">
        <f>Compte!A159</f>
        <v>478</v>
      </c>
      <c r="B160" s="679" t="str">
        <f>Compte!B159</f>
        <v>Ecart de convertion d'actif</v>
      </c>
      <c r="C160" s="680">
        <f>SUMIF(Journal!$C$7:$C$2000,A160,Journal!$G$7:$G$2000)</f>
        <v>0</v>
      </c>
      <c r="D160" s="680">
        <f>SUMIF(Journal!$D$7:$D$2000,A160,Journal!$G$7:$G$2000)</f>
        <v>0</v>
      </c>
      <c r="E160" s="680">
        <f t="shared" si="2"/>
        <v>0</v>
      </c>
    </row>
    <row r="161" spans="1:5">
      <c r="A161" s="679">
        <f>Compte!A160</f>
        <v>7072</v>
      </c>
      <c r="B161" s="679" t="str">
        <f>Compte!B160</f>
        <v>Commissions et court. accordés aux 1/3 sur ventes</v>
      </c>
      <c r="C161" s="680">
        <f>SUMIF(Journal!$C$7:$C$2000,A161,Journal!$G$7:$G$2000)</f>
        <v>0</v>
      </c>
      <c r="D161" s="680">
        <f>SUMIF(Journal!$D$7:$D$2000,A161,Journal!$G$7:$G$2000)</f>
        <v>0</v>
      </c>
      <c r="E161" s="680">
        <f t="shared" si="2"/>
        <v>0</v>
      </c>
    </row>
    <row r="162" spans="1:5">
      <c r="A162" s="679">
        <f>Compte!A161</f>
        <v>601</v>
      </c>
      <c r="B162" s="679" t="str">
        <f>Compte!B161</f>
        <v>Achats de marchandises à taux réduit</v>
      </c>
      <c r="C162" s="680">
        <f>SUMIF(Journal!$C$7:$C$2000,A162,Journal!$G$7:$G$2000)</f>
        <v>0</v>
      </c>
      <c r="D162" s="680">
        <f>SUMIF(Journal!$D$7:$D$2000,A162,Journal!$G$7:$G$2000)</f>
        <v>0</v>
      </c>
      <c r="E162" s="680">
        <f t="shared" si="2"/>
        <v>0</v>
      </c>
    </row>
    <row r="163" spans="1:5">
      <c r="A163" s="679">
        <f>Compte!A162</f>
        <v>602</v>
      </c>
      <c r="B163" s="679" t="str">
        <f>Compte!B162</f>
        <v>Achats de marchandises taux normal</v>
      </c>
      <c r="C163" s="680">
        <f>SUMIF(Journal!$C$7:$C$2000,A163,Journal!$G$7:$G$2000)</f>
        <v>210</v>
      </c>
      <c r="D163" s="680">
        <f>SUMIF(Journal!$D$7:$D$2000,A163,Journal!$G$7:$G$2000)</f>
        <v>0</v>
      </c>
      <c r="E163" s="680">
        <f t="shared" si="2"/>
        <v>210</v>
      </c>
    </row>
    <row r="164" spans="1:5">
      <c r="A164" s="679">
        <f>Compte!A163</f>
        <v>603</v>
      </c>
      <c r="B164" s="679" t="str">
        <f>Compte!B163</f>
        <v>Achats de marchandises  au taux fort</v>
      </c>
      <c r="C164" s="680">
        <f>SUMIF(Journal!$C$7:$C$2000,A164,Journal!$G$7:$G$2000)</f>
        <v>0</v>
      </c>
      <c r="D164" s="680">
        <f>SUMIF(Journal!$D$7:$D$2000,A164,Journal!$G$7:$G$2000)</f>
        <v>0</v>
      </c>
      <c r="E164" s="680">
        <f t="shared" si="2"/>
        <v>0</v>
      </c>
    </row>
    <row r="165" spans="1:5">
      <c r="A165" s="679">
        <f>Compte!A164</f>
        <v>6010</v>
      </c>
      <c r="B165" s="679" t="str">
        <f>Compte!B164</f>
        <v>MP, fournitures &amp; Emb.  À taux réduit</v>
      </c>
      <c r="C165" s="680">
        <f>SUMIF(Journal!$C$7:$C$2000,A165,Journal!$G$7:$G$2000)</f>
        <v>0</v>
      </c>
      <c r="D165" s="680">
        <f>SUMIF(Journal!$D$7:$D$2000,A165,Journal!$G$7:$G$2000)</f>
        <v>0</v>
      </c>
      <c r="E165" s="680">
        <f t="shared" si="2"/>
        <v>0</v>
      </c>
    </row>
    <row r="166" spans="1:5">
      <c r="A166" s="679">
        <f>Compte!A165</f>
        <v>6011</v>
      </c>
      <c r="B166" s="679" t="str">
        <f>Compte!B165</f>
        <v>MP, fournitures &amp; Emb. À taux normal</v>
      </c>
      <c r="C166" s="680">
        <f>SUMIF(Journal!$C$7:$C$2000,A166,Journal!$G$7:$G$2000)</f>
        <v>1500</v>
      </c>
      <c r="D166" s="680">
        <f>SUMIF(Journal!$D$7:$D$2000,A166,Journal!$G$7:$G$2000)</f>
        <v>0</v>
      </c>
      <c r="E166" s="680">
        <f t="shared" si="2"/>
        <v>1500</v>
      </c>
    </row>
    <row r="167" spans="1:5">
      <c r="A167" s="679">
        <f>Compte!A166</f>
        <v>6012</v>
      </c>
      <c r="B167" s="679" t="str">
        <f>Compte!B166</f>
        <v>MP, fournitures &amp; Emb.à taux fort</v>
      </c>
      <c r="C167" s="680">
        <f>SUMIF(Journal!$C$7:$C$2000,A167,Journal!$G$7:$G$2000)</f>
        <v>0</v>
      </c>
      <c r="D167" s="680">
        <f>SUMIF(Journal!$D$7:$D$2000,A167,Journal!$G$7:$G$2000)</f>
        <v>0</v>
      </c>
      <c r="E167" s="680">
        <f t="shared" si="2"/>
        <v>0</v>
      </c>
    </row>
    <row r="168" spans="1:5">
      <c r="A168" s="679">
        <f>Compte!A167</f>
        <v>6020</v>
      </c>
      <c r="B168" s="679" t="str">
        <f>Compte!B167</f>
        <v>MP, fournitures &amp; Emb. dans l'UÉMOA à taux réduit</v>
      </c>
      <c r="C168" s="680">
        <f>SUMIF(Journal!$C$7:$C$2000,A168,Journal!$G$7:$G$2000)</f>
        <v>0</v>
      </c>
      <c r="D168" s="680">
        <f>SUMIF(Journal!$D$7:$D$2000,A168,Journal!$G$7:$G$2000)</f>
        <v>0</v>
      </c>
      <c r="E168" s="680">
        <f t="shared" si="2"/>
        <v>0</v>
      </c>
    </row>
    <row r="169" spans="1:5">
      <c r="A169" s="679">
        <f>Compte!A168</f>
        <v>6021</v>
      </c>
      <c r="B169" s="679" t="str">
        <f>Compte!B168</f>
        <v>MP, fournitures &amp; Emb. dans l'UÉMOA à taux normal</v>
      </c>
      <c r="C169" s="680">
        <f>SUMIF(Journal!$C$7:$C$2000,A169,Journal!$G$7:$G$2000)</f>
        <v>2000</v>
      </c>
      <c r="D169" s="680">
        <f>SUMIF(Journal!$D$7:$D$2000,A169,Journal!$G$7:$G$2000)</f>
        <v>0</v>
      </c>
      <c r="E169" s="680">
        <f t="shared" si="2"/>
        <v>2000</v>
      </c>
    </row>
    <row r="170" spans="1:5">
      <c r="A170" s="679">
        <f>Compte!A169</f>
        <v>6022</v>
      </c>
      <c r="B170" s="679" t="str">
        <f>Compte!B169</f>
        <v>MP, fournitures &amp; Emb. dans l'UÉMOA à taux fort</v>
      </c>
      <c r="C170" s="680">
        <f>SUMIF(Journal!$C$7:$C$2000,A170,Journal!$G$7:$G$2000)</f>
        <v>0</v>
      </c>
      <c r="D170" s="680">
        <f>SUMIF(Journal!$D$7:$D$2000,A170,Journal!$G$7:$G$2000)</f>
        <v>0</v>
      </c>
      <c r="E170" s="680">
        <f t="shared" si="2"/>
        <v>0</v>
      </c>
    </row>
    <row r="171" spans="1:5">
      <c r="A171" s="679">
        <f>Compte!A170</f>
        <v>6013</v>
      </c>
      <c r="B171" s="679" t="str">
        <f>Compte!B170</f>
        <v>Achats de marchandises hors UEMOA taux réduit</v>
      </c>
      <c r="C171" s="680">
        <f>SUMIF(Journal!$C$7:$C$2000,A171,Journal!$G$7:$G$2000)</f>
        <v>700000</v>
      </c>
      <c r="D171" s="680">
        <f>SUMIF(Journal!$D$7:$D$2000,A171,Journal!$G$7:$G$2000)</f>
        <v>0</v>
      </c>
      <c r="E171" s="680">
        <f t="shared" si="2"/>
        <v>700000</v>
      </c>
    </row>
    <row r="172" spans="1:5">
      <c r="A172" s="679">
        <f>Compte!A171</f>
        <v>6014</v>
      </c>
      <c r="B172" s="679" t="str">
        <f>Compte!B171</f>
        <v>MP et fournitures. hors UÉMOA taux normal</v>
      </c>
      <c r="C172" s="680">
        <f>SUMIF(Journal!$C$7:$C$2000,A172,Journal!$G$7:$G$2000)</f>
        <v>10000</v>
      </c>
      <c r="D172" s="680">
        <f>SUMIF(Journal!$D$7:$D$2000,A172,Journal!$G$7:$G$2000)</f>
        <v>0</v>
      </c>
      <c r="E172" s="680">
        <f t="shared" si="2"/>
        <v>10000</v>
      </c>
    </row>
    <row r="173" spans="1:5">
      <c r="A173" s="679">
        <f>Compte!A172</f>
        <v>6015</v>
      </c>
      <c r="B173" s="679" t="str">
        <f>Compte!B172</f>
        <v>MP et fournitures. hors UÉMOA taux fort</v>
      </c>
      <c r="C173" s="680">
        <f>SUMIF(Journal!$C$7:$C$2000,A173,Journal!$G$7:$G$2000)</f>
        <v>0</v>
      </c>
      <c r="D173" s="680">
        <f>SUMIF(Journal!$D$7:$D$2000,A173,Journal!$G$7:$G$2000)</f>
        <v>0</v>
      </c>
      <c r="E173" s="680">
        <f t="shared" si="2"/>
        <v>0</v>
      </c>
    </row>
    <row r="174" spans="1:5">
      <c r="A174" s="679">
        <f>Compte!A173</f>
        <v>6180</v>
      </c>
      <c r="B174" s="679" t="str">
        <f>Compte!B173</f>
        <v>Autres frais d'achat et douanes</v>
      </c>
      <c r="C174" s="680">
        <f>SUMIF(Journal!$C$7:$C$2000,A174,Journal!$G$7:$G$2000)</f>
        <v>500</v>
      </c>
      <c r="D174" s="680">
        <f>SUMIF(Journal!$D$7:$D$2000,A174,Journal!$G$7:$G$2000)</f>
        <v>0</v>
      </c>
      <c r="E174" s="680">
        <f t="shared" si="2"/>
        <v>500</v>
      </c>
    </row>
    <row r="175" spans="1:5">
      <c r="A175" s="679">
        <f>Compte!A174</f>
        <v>6730</v>
      </c>
      <c r="B175" s="679" t="str">
        <f>Compte!B174</f>
        <v>Escomptes accordés à taux réduit</v>
      </c>
      <c r="C175" s="680">
        <f>SUMIF(Journal!$C$7:$C$2000,A175,Journal!$G$7:$G$2000)</f>
        <v>0</v>
      </c>
      <c r="D175" s="680">
        <f>SUMIF(Journal!$D$7:$D$2000,A175,Journal!$G$7:$G$2000)</f>
        <v>0</v>
      </c>
      <c r="E175" s="680">
        <f t="shared" si="2"/>
        <v>0</v>
      </c>
    </row>
    <row r="176" spans="1:5">
      <c r="A176" s="679">
        <f>Compte!A175</f>
        <v>6731</v>
      </c>
      <c r="B176" s="679" t="str">
        <f>Compte!B175</f>
        <v>Escomptes accordés à taux normal</v>
      </c>
      <c r="C176" s="680">
        <f>SUMIF(Journal!$C$7:$C$2000,A176,Journal!$G$7:$G$2000)</f>
        <v>55</v>
      </c>
      <c r="D176" s="680">
        <f>SUMIF(Journal!$D$7:$D$2000,A176,Journal!$G$7:$G$2000)</f>
        <v>0</v>
      </c>
      <c r="E176" s="680">
        <f t="shared" si="2"/>
        <v>55</v>
      </c>
    </row>
    <row r="177" spans="1:5">
      <c r="A177" s="679">
        <f>Compte!A176</f>
        <v>6732</v>
      </c>
      <c r="B177" s="679" t="str">
        <f>Compte!B176</f>
        <v>Escomptes accordés à taux fort</v>
      </c>
      <c r="C177" s="680">
        <f>SUMIF(Journal!$C$7:$C$2000,A177,Journal!$G$7:$G$2000)</f>
        <v>0</v>
      </c>
      <c r="D177" s="680">
        <f>SUMIF(Journal!$D$7:$D$2000,A177,Journal!$G$7:$G$2000)</f>
        <v>0</v>
      </c>
      <c r="E177" s="680">
        <f t="shared" si="2"/>
        <v>0</v>
      </c>
    </row>
    <row r="178" spans="1:5">
      <c r="A178" s="679">
        <f>Compte!A177</f>
        <v>6031</v>
      </c>
      <c r="B178" s="679" t="str">
        <f>Compte!B177</f>
        <v>Variations : stocks marchandises dim</v>
      </c>
      <c r="C178" s="680">
        <f>SUMIF(Journal!$C$7:$C$2000,A178,Journal!$G$7:$G$2000)</f>
        <v>20000</v>
      </c>
      <c r="D178" s="680"/>
      <c r="E178" s="680">
        <f t="shared" si="2"/>
        <v>20000</v>
      </c>
    </row>
    <row r="179" spans="1:5">
      <c r="A179" s="679">
        <f>Compte!A178</f>
        <v>6032</v>
      </c>
      <c r="B179" s="679" t="str">
        <f>Compte!B178</f>
        <v>Variations. Mat. premières, fournit. Dim</v>
      </c>
      <c r="C179" s="680">
        <f>SUMIF(Journal!$C$7:$C$2000,A179,Journal!$G$7:$G$2000)</f>
        <v>30000</v>
      </c>
      <c r="D179" s="680"/>
      <c r="E179" s="680">
        <f t="shared" si="2"/>
        <v>30000</v>
      </c>
    </row>
    <row r="180" spans="1:5">
      <c r="A180" s="679">
        <f>Compte!A179</f>
        <v>6033</v>
      </c>
      <c r="B180" s="679" t="str">
        <f>Compte!B179</f>
        <v>Variations. Autres approvisionnement. Dim</v>
      </c>
      <c r="C180" s="680">
        <f>SUMIF(Journal!$C$7:$C$2000,A180,Journal!$G$7:$G$2000)</f>
        <v>20000</v>
      </c>
      <c r="D180" s="680"/>
      <c r="E180" s="680">
        <f t="shared" si="2"/>
        <v>20000</v>
      </c>
    </row>
    <row r="181" spans="1:5">
      <c r="A181" s="679">
        <f>Compte!A180</f>
        <v>6034</v>
      </c>
      <c r="B181" s="679" t="str">
        <f>Compte!B180</f>
        <v>Variations. Produit résiduel et intermédiaires</v>
      </c>
      <c r="C181" s="680">
        <f>SUMIF(Journal!$C$7:$C$2000,A181,Journal!$G$7:$G$2000)</f>
        <v>20000</v>
      </c>
      <c r="D181" s="680"/>
      <c r="E181" s="680">
        <f t="shared" si="2"/>
        <v>20000</v>
      </c>
    </row>
    <row r="182" spans="1:5">
      <c r="A182" s="679">
        <f>Compte!A181</f>
        <v>6035</v>
      </c>
      <c r="B182" s="679" t="str">
        <f>Compte!B181</f>
        <v>Variation des encours de produit Dim</v>
      </c>
      <c r="C182" s="680">
        <f>SUMIF(Journal!$C$7:$C$2000,A182,Journal!$G$7:$G$2000)</f>
        <v>20000</v>
      </c>
      <c r="D182" s="680"/>
      <c r="E182" s="680">
        <f t="shared" si="2"/>
        <v>20000</v>
      </c>
    </row>
    <row r="183" spans="1:5">
      <c r="A183" s="679">
        <f>Compte!A182</f>
        <v>7360</v>
      </c>
      <c r="B183" s="679" t="str">
        <f>Compte!B182</f>
        <v>variation des produits finis Dim</v>
      </c>
      <c r="C183" s="680">
        <f>SUMIF(Journal!$C$7:$C$2000,A183,Journal!$G$7:$G$2000)</f>
        <v>500</v>
      </c>
      <c r="D183" s="680"/>
      <c r="E183" s="680">
        <f t="shared" si="2"/>
        <v>500</v>
      </c>
    </row>
    <row r="184" spans="1:5">
      <c r="A184" s="679">
        <f>Compte!A183</f>
        <v>6051</v>
      </c>
      <c r="B184" s="679" t="str">
        <f>Compte!B183</f>
        <v>Fournitures non stockables -Eau</v>
      </c>
      <c r="C184" s="680">
        <f>SUMIF(Journal!$C$7:$C$2000,A184,Journal!$G$7:$G$2000)</f>
        <v>800</v>
      </c>
      <c r="D184" s="680">
        <f>SUMIF(Journal!$D$7:$D$2000,A184,Journal!$G$7:$G$2000)</f>
        <v>0</v>
      </c>
      <c r="E184" s="680">
        <f t="shared" si="2"/>
        <v>800</v>
      </c>
    </row>
    <row r="185" spans="1:5">
      <c r="A185" s="679">
        <f>Compte!A184</f>
        <v>6052</v>
      </c>
      <c r="B185" s="679" t="str">
        <f>Compte!B184</f>
        <v>Fournitures non stockables - Electricité</v>
      </c>
      <c r="C185" s="680">
        <f>SUMIF(Journal!$C$7:$C$2000,A185,Journal!$G$7:$G$2000)</f>
        <v>100</v>
      </c>
      <c r="D185" s="680">
        <f>SUMIF(Journal!$D$7:$D$2000,A185,Journal!$G$7:$G$2000)</f>
        <v>0</v>
      </c>
      <c r="E185" s="680">
        <f t="shared" si="2"/>
        <v>100</v>
      </c>
    </row>
    <row r="186" spans="1:5">
      <c r="A186" s="679">
        <f>Compte!A185</f>
        <v>6053</v>
      </c>
      <c r="B186" s="679" t="str">
        <f>Compte!B185</f>
        <v>Fournitures non stockables – Autres énergies</v>
      </c>
      <c r="C186" s="680">
        <f>SUMIF(Journal!$C$7:$C$2000,A186,Journal!$G$7:$G$2000)</f>
        <v>600</v>
      </c>
      <c r="D186" s="680">
        <f>SUMIF(Journal!$D$7:$D$2000,A186,Journal!$G$7:$G$2000)</f>
        <v>0</v>
      </c>
      <c r="E186" s="680">
        <f t="shared" si="2"/>
        <v>600</v>
      </c>
    </row>
    <row r="187" spans="1:5">
      <c r="A187" s="679">
        <f>Compte!A186</f>
        <v>6054</v>
      </c>
      <c r="B187" s="679" t="str">
        <f>Compte!B186</f>
        <v>Fournitures d'entretien non stockables</v>
      </c>
      <c r="C187" s="680">
        <f>SUMIF(Journal!$C$7:$C$2000,A187,Journal!$G$7:$G$2000)</f>
        <v>200</v>
      </c>
      <c r="D187" s="680">
        <f>SUMIF(Journal!$D$7:$D$2000,A187,Journal!$G$7:$G$2000)</f>
        <v>0</v>
      </c>
      <c r="E187" s="680">
        <f t="shared" si="2"/>
        <v>200</v>
      </c>
    </row>
    <row r="188" spans="1:5">
      <c r="A188" s="679">
        <f>Compte!A187</f>
        <v>6055</v>
      </c>
      <c r="B188" s="679" t="str">
        <f>Compte!B187</f>
        <v>Fournitures de bureau et petit logiciel bureautique</v>
      </c>
      <c r="C188" s="680">
        <f>SUMIF(Journal!$C$7:$C$2000,A188,Journal!$G$7:$G$2000)</f>
        <v>2100</v>
      </c>
      <c r="D188" s="680">
        <f>SUMIF(Journal!$D$7:$D$2000,A188,Journal!$G$7:$G$2000)</f>
        <v>0</v>
      </c>
      <c r="E188" s="680">
        <f t="shared" si="2"/>
        <v>2100</v>
      </c>
    </row>
    <row r="189" spans="1:5">
      <c r="A189" s="679">
        <f>Compte!A188</f>
        <v>6056</v>
      </c>
      <c r="B189" s="679" t="str">
        <f>Compte!B188</f>
        <v>Achats de petit matériel et outillage</v>
      </c>
      <c r="C189" s="680">
        <f>SUMIF(Journal!$C$7:$C$2000,A189,Journal!$G$7:$G$2000)</f>
        <v>300</v>
      </c>
      <c r="D189" s="680">
        <f>SUMIF(Journal!$D$7:$D$2000,A189,Journal!$G$7:$G$2000)</f>
        <v>0</v>
      </c>
      <c r="E189" s="680">
        <f t="shared" si="2"/>
        <v>300</v>
      </c>
    </row>
    <row r="190" spans="1:5">
      <c r="A190" s="679">
        <f>Compte!A189</f>
        <v>6057</v>
      </c>
      <c r="B190" s="679" t="str">
        <f>Compte!B189</f>
        <v>Achats d'études et prestations de services</v>
      </c>
      <c r="C190" s="680">
        <f>SUMIF(Journal!$C$7:$C$2000,A190,Journal!$G$7:$G$2000)</f>
        <v>500</v>
      </c>
      <c r="D190" s="680">
        <f>SUMIF(Journal!$D$7:$D$2000,A190,Journal!$G$7:$G$2000)</f>
        <v>0</v>
      </c>
      <c r="E190" s="680">
        <f t="shared" si="2"/>
        <v>500</v>
      </c>
    </row>
    <row r="191" spans="1:5">
      <c r="A191" s="679">
        <f>Compte!A190</f>
        <v>6064</v>
      </c>
      <c r="B191" s="679" t="str">
        <f>Compte!B190</f>
        <v>Fournitures administratives</v>
      </c>
      <c r="C191" s="680">
        <f>SUMIF(Journal!$C$7:$C$2000,A191,Journal!$G$7:$G$2000)</f>
        <v>900</v>
      </c>
      <c r="D191" s="680">
        <f>SUMIF(Journal!$D$7:$D$2000,A191,Journal!$G$7:$G$2000)</f>
        <v>0</v>
      </c>
      <c r="E191" s="680">
        <f t="shared" si="2"/>
        <v>900</v>
      </c>
    </row>
    <row r="192" spans="1:5">
      <c r="A192" s="679">
        <f>Compte!A191</f>
        <v>611</v>
      </c>
      <c r="B192" s="679" t="str">
        <f>Compte!B191</f>
        <v>Frais de transport sur achat</v>
      </c>
      <c r="C192" s="680">
        <f>SUMIF(Journal!$C$7:$C$2000,A192,Journal!$G$7:$G$2000)</f>
        <v>500</v>
      </c>
      <c r="D192" s="680">
        <f>SUMIF(Journal!$D$7:$D$2000,A192,Journal!$G$7:$G$2000)</f>
        <v>0</v>
      </c>
      <c r="E192" s="680">
        <f t="shared" si="2"/>
        <v>500</v>
      </c>
    </row>
    <row r="193" spans="1:5">
      <c r="A193" s="679">
        <f>Compte!A192</f>
        <v>621</v>
      </c>
      <c r="B193" s="679" t="str">
        <f>Compte!B192</f>
        <v>Charges de sous traitance</v>
      </c>
      <c r="C193" s="680">
        <f>SUMIF(Journal!$C$7:$C$2000,A193,Journal!$G$7:$G$2000)</f>
        <v>500</v>
      </c>
      <c r="D193" s="680">
        <f>SUMIF(Journal!$D$7:$D$2000,A193,Journal!$G$7:$G$2000)</f>
        <v>0</v>
      </c>
      <c r="E193" s="680">
        <f t="shared" si="2"/>
        <v>500</v>
      </c>
    </row>
    <row r="194" spans="1:5">
      <c r="A194" s="679">
        <f>Compte!A193</f>
        <v>622</v>
      </c>
      <c r="B194" s="679" t="str">
        <f>Compte!B193</f>
        <v>Location et charges locatives</v>
      </c>
      <c r="C194" s="680">
        <f>SUMIF(Journal!$C$7:$C$2000,A194,Journal!$G$7:$G$2000)</f>
        <v>10500</v>
      </c>
      <c r="D194" s="680">
        <f>SUMIF(Journal!$D$7:$D$2000,A194,Journal!$G$7:$G$2000)</f>
        <v>5000</v>
      </c>
      <c r="E194" s="680">
        <f t="shared" si="2"/>
        <v>5500</v>
      </c>
    </row>
    <row r="195" spans="1:5">
      <c r="A195" s="679">
        <f>Compte!A194</f>
        <v>6221</v>
      </c>
      <c r="B195" s="679" t="str">
        <f>Compte!B194</f>
        <v>Locations de terrains</v>
      </c>
      <c r="C195" s="680">
        <f>SUMIF(Journal!$C$7:$C$2000,A195,Journal!$G$7:$G$2000)</f>
        <v>10000</v>
      </c>
      <c r="D195" s="680">
        <f>SUMIF(Journal!$D$7:$D$2000,A195,Journal!$G$7:$G$2000)</f>
        <v>0</v>
      </c>
      <c r="E195" s="680">
        <f t="shared" si="2"/>
        <v>10000</v>
      </c>
    </row>
    <row r="196" spans="1:5">
      <c r="A196" s="679">
        <f>Compte!A195</f>
        <v>6222</v>
      </c>
      <c r="B196" s="679" t="str">
        <f>Compte!B195</f>
        <v>Locations de bâtiments</v>
      </c>
      <c r="C196" s="680">
        <f>SUMIF(Journal!$C$7:$C$2000,A196,Journal!$G$7:$G$2000)</f>
        <v>800</v>
      </c>
      <c r="D196" s="680">
        <f>SUMIF(Journal!$D$7:$D$2000,A196,Journal!$G$7:$G$2000)</f>
        <v>0</v>
      </c>
      <c r="E196" s="680">
        <f t="shared" si="2"/>
        <v>800</v>
      </c>
    </row>
    <row r="197" spans="1:5">
      <c r="A197" s="679">
        <f>Compte!A196</f>
        <v>6223</v>
      </c>
      <c r="B197" s="679" t="str">
        <f>Compte!B196</f>
        <v>Locations de matériels et outillages</v>
      </c>
      <c r="C197" s="680">
        <f>SUMIF(Journal!$C$7:$C$2000,A197,Journal!$G$7:$G$2000)</f>
        <v>500</v>
      </c>
      <c r="D197" s="680">
        <f>SUMIF(Journal!$D$7:$D$2000,A197,Journal!$G$7:$G$2000)</f>
        <v>0</v>
      </c>
      <c r="E197" s="680">
        <f t="shared" ref="E197:E260" si="3">C197-D197</f>
        <v>500</v>
      </c>
    </row>
    <row r="198" spans="1:5">
      <c r="A198" s="679">
        <f>Compte!A197</f>
        <v>6224</v>
      </c>
      <c r="B198" s="679" t="str">
        <f>Compte!B197</f>
        <v>Malis sur emballages</v>
      </c>
      <c r="C198" s="680">
        <f>SUMIF(Journal!$C$7:$C$2000,A198,Journal!$G$7:$G$2000)</f>
        <v>0</v>
      </c>
      <c r="D198" s="680">
        <f>SUMIF(Journal!$D$7:$D$2000,A198,Journal!$G$7:$G$2000)</f>
        <v>0</v>
      </c>
      <c r="E198" s="680">
        <f t="shared" si="3"/>
        <v>0</v>
      </c>
    </row>
    <row r="199" spans="1:5">
      <c r="A199" s="679">
        <f>Compte!A198</f>
        <v>6232</v>
      </c>
      <c r="B199" s="679" t="str">
        <f>Compte!B198</f>
        <v>Crédit-bail immobilier &amp; mobilier</v>
      </c>
      <c r="C199" s="680">
        <f>SUMIF(Journal!$C$7:$C$2000,A199,Journal!$G$7:$G$2000)</f>
        <v>500</v>
      </c>
      <c r="D199" s="680">
        <f>SUMIF(Journal!$D$7:$D$2000,A199,Journal!$G$7:$G$2000)</f>
        <v>0</v>
      </c>
      <c r="E199" s="680">
        <f t="shared" si="3"/>
        <v>500</v>
      </c>
    </row>
    <row r="200" spans="1:5">
      <c r="A200" s="679">
        <f>Compte!A199</f>
        <v>6243</v>
      </c>
      <c r="B200" s="679" t="str">
        <f>Compte!B199</f>
        <v>Maintenance  des appareils et outillages et autres entretiens</v>
      </c>
      <c r="C200" s="680">
        <f>SUMIF(Journal!$C$7:$C$2000,A200,Journal!$G$7:$G$2000)</f>
        <v>10500</v>
      </c>
      <c r="D200" s="680">
        <f>SUMIF(Journal!$D$7:$D$2000,A200,Journal!$G$7:$G$2000)</f>
        <v>0</v>
      </c>
      <c r="E200" s="680">
        <f t="shared" si="3"/>
        <v>10500</v>
      </c>
    </row>
    <row r="201" spans="1:5">
      <c r="A201" s="679">
        <f>Compte!A200</f>
        <v>6251</v>
      </c>
      <c r="B201" s="679" t="str">
        <f>Compte!B200</f>
        <v>Assurances multirisques</v>
      </c>
      <c r="C201" s="680">
        <f>SUMIF(Journal!$C$7:$C$2000,A201,Journal!$G$7:$G$2000)</f>
        <v>220</v>
      </c>
      <c r="D201" s="680">
        <f>SUMIF(Journal!$D$7:$D$2000,A201,Journal!$G$7:$G$2000)</f>
        <v>0</v>
      </c>
      <c r="E201" s="680">
        <f t="shared" si="3"/>
        <v>220</v>
      </c>
    </row>
    <row r="202" spans="1:5">
      <c r="A202" s="679">
        <f>Compte!A201</f>
        <v>6252</v>
      </c>
      <c r="B202" s="679" t="str">
        <f>Compte!B201</f>
        <v>Assurances matériel de transport</v>
      </c>
      <c r="C202" s="680">
        <f>SUMIF(Journal!$C$7:$C$2000,A202,Journal!$G$7:$G$2000)</f>
        <v>230</v>
      </c>
      <c r="D202" s="680">
        <f>SUMIF(Journal!$D$7:$D$2000,A202,Journal!$G$7:$G$2000)</f>
        <v>0</v>
      </c>
      <c r="E202" s="680">
        <f t="shared" si="3"/>
        <v>230</v>
      </c>
    </row>
    <row r="203" spans="1:5">
      <c r="A203" s="679">
        <f>Compte!A202</f>
        <v>6253</v>
      </c>
      <c r="B203" s="679" t="str">
        <f>Compte!B202</f>
        <v>Assurances risques d'exploitation</v>
      </c>
      <c r="C203" s="680">
        <f>SUMIF(Journal!$C$7:$C$2000,A203,Journal!$G$7:$G$2000)</f>
        <v>240</v>
      </c>
      <c r="D203" s="680">
        <f>SUMIF(Journal!$D$7:$D$2000,A203,Journal!$G$7:$G$2000)</f>
        <v>0</v>
      </c>
      <c r="E203" s="680">
        <f t="shared" si="3"/>
        <v>240</v>
      </c>
    </row>
    <row r="204" spans="1:5">
      <c r="A204" s="679">
        <f>Compte!A203</f>
        <v>6254</v>
      </c>
      <c r="B204" s="679" t="str">
        <f>Compte!B203</f>
        <v>Assurances responsabilité du producteur</v>
      </c>
      <c r="C204" s="680">
        <f>SUMIF(Journal!$C$7:$C$2000,A204,Journal!$G$7:$G$2000)</f>
        <v>250</v>
      </c>
      <c r="D204" s="680">
        <f>SUMIF(Journal!$D$7:$D$2000,A204,Journal!$G$7:$G$2000)</f>
        <v>0</v>
      </c>
      <c r="E204" s="680">
        <f t="shared" si="3"/>
        <v>250</v>
      </c>
    </row>
    <row r="205" spans="1:5">
      <c r="A205" s="679">
        <f>Compte!A204</f>
        <v>6255</v>
      </c>
      <c r="B205" s="679" t="str">
        <f>Compte!B204</f>
        <v>Assurances insolvabilité clients</v>
      </c>
      <c r="C205" s="680">
        <f>SUMIF(Journal!$C$7:$C$2000,A205,Journal!$G$7:$G$2000)</f>
        <v>260</v>
      </c>
      <c r="D205" s="680">
        <f>SUMIF(Journal!$D$7:$D$2000,A205,Journal!$G$7:$G$2000)</f>
        <v>0</v>
      </c>
      <c r="E205" s="680">
        <f t="shared" si="3"/>
        <v>260</v>
      </c>
    </row>
    <row r="206" spans="1:5">
      <c r="A206" s="679">
        <f>Compte!A205</f>
        <v>6256</v>
      </c>
      <c r="B206" s="679" t="str">
        <f>Compte!B205</f>
        <v>Assurances transport sur achats</v>
      </c>
      <c r="C206" s="680">
        <f>SUMIF(Journal!$C$7:$C$2000,A206,Journal!$G$7:$G$2000)</f>
        <v>270</v>
      </c>
      <c r="D206" s="680">
        <f>SUMIF(Journal!$D$7:$D$2000,A206,Journal!$G$7:$G$2000)</f>
        <v>0</v>
      </c>
      <c r="E206" s="680">
        <f t="shared" si="3"/>
        <v>270</v>
      </c>
    </row>
    <row r="207" spans="1:5">
      <c r="A207" s="679">
        <f>Compte!A206</f>
        <v>6257</v>
      </c>
      <c r="B207" s="679" t="str">
        <f>Compte!B206</f>
        <v>Assurances transport sur ventes</v>
      </c>
      <c r="C207" s="680">
        <f>SUMIF(Journal!$C$7:$C$2000,A207,Journal!$G$7:$G$2000)</f>
        <v>280</v>
      </c>
      <c r="D207" s="680">
        <f>SUMIF(Journal!$D$7:$D$2000,A207,Journal!$G$7:$G$2000)</f>
        <v>0</v>
      </c>
      <c r="E207" s="680">
        <f t="shared" si="3"/>
        <v>280</v>
      </c>
    </row>
    <row r="208" spans="1:5">
      <c r="A208" s="679">
        <f>Compte!A207</f>
        <v>6258</v>
      </c>
      <c r="B208" s="679" t="str">
        <f>Compte!B207</f>
        <v>Autres primes d'assurances</v>
      </c>
      <c r="C208" s="680">
        <f>SUMIF(Journal!$C$7:$C$2000,A208,Journal!$G$7:$G$2000)</f>
        <v>290</v>
      </c>
      <c r="D208" s="680">
        <f>SUMIF(Journal!$D$7:$D$2000,A208,Journal!$G$7:$G$2000)</f>
        <v>0</v>
      </c>
      <c r="E208" s="680">
        <f t="shared" si="3"/>
        <v>290</v>
      </c>
    </row>
    <row r="209" spans="1:5">
      <c r="A209" s="679">
        <f>Compte!A208</f>
        <v>6260</v>
      </c>
      <c r="B209" s="679" t="str">
        <f>Compte!B208</f>
        <v>frais d'étude et documentation</v>
      </c>
      <c r="C209" s="680">
        <f>SUMIF(Journal!$C$7:$C$2000,A209,Journal!$G$7:$G$2000)</f>
        <v>800</v>
      </c>
      <c r="D209" s="680">
        <f>SUMIF(Journal!$D$7:$D$2000,A209,Journal!$G$7:$G$2000)</f>
        <v>0</v>
      </c>
      <c r="E209" s="680">
        <f t="shared" si="3"/>
        <v>800</v>
      </c>
    </row>
    <row r="210" spans="1:5">
      <c r="A210" s="679">
        <f>Compte!A209</f>
        <v>6271</v>
      </c>
      <c r="B210" s="679" t="str">
        <f>Compte!B209</f>
        <v>Annonces, insertions</v>
      </c>
      <c r="C210" s="680">
        <f>SUMIF(Journal!$C$7:$C$2000,A210,Journal!$G$7:$G$2000)</f>
        <v>800</v>
      </c>
      <c r="D210" s="680">
        <f>SUMIF(Journal!$D$7:$D$2000,A210,Journal!$G$7:$G$2000)</f>
        <v>0</v>
      </c>
      <c r="E210" s="680">
        <f t="shared" si="3"/>
        <v>800</v>
      </c>
    </row>
    <row r="211" spans="1:5">
      <c r="A211" s="679">
        <f>Compte!A210</f>
        <v>6272</v>
      </c>
      <c r="B211" s="679" t="str">
        <f>Compte!B210</f>
        <v>Catalogues, imprimés publicitaires</v>
      </c>
      <c r="C211" s="680">
        <f>SUMIF(Journal!$C$7:$C$2000,A211,Journal!$G$7:$G$2000)</f>
        <v>800</v>
      </c>
      <c r="D211" s="680">
        <f>SUMIF(Journal!$D$7:$D$2000,A211,Journal!$G$7:$G$2000)</f>
        <v>0</v>
      </c>
      <c r="E211" s="680">
        <f t="shared" si="3"/>
        <v>800</v>
      </c>
    </row>
    <row r="212" spans="1:5">
      <c r="A212" s="679">
        <f>Compte!A211</f>
        <v>6274</v>
      </c>
      <c r="B212" s="679" t="str">
        <f>Compte!B211</f>
        <v>Foires et expositions</v>
      </c>
      <c r="C212" s="680">
        <f>SUMIF(Journal!$C$7:$C$2000,A212,Journal!$G$7:$G$2000)</f>
        <v>800</v>
      </c>
      <c r="D212" s="680">
        <f>SUMIF(Journal!$D$7:$D$2000,A212,Journal!$G$7:$G$2000)</f>
        <v>0</v>
      </c>
      <c r="E212" s="680">
        <f t="shared" si="3"/>
        <v>800</v>
      </c>
    </row>
    <row r="213" spans="1:5">
      <c r="A213" s="679">
        <f>Compte!A212</f>
        <v>6275</v>
      </c>
      <c r="B213" s="679" t="str">
        <f>Compte!B212</f>
        <v>Publications</v>
      </c>
      <c r="C213" s="680">
        <f>SUMIF(Journal!$C$7:$C$2000,A213,Journal!$G$7:$G$2000)</f>
        <v>800</v>
      </c>
      <c r="D213" s="680">
        <f>SUMIF(Journal!$D$7:$D$2000,A213,Journal!$G$7:$G$2000)</f>
        <v>0</v>
      </c>
      <c r="E213" s="680">
        <f t="shared" si="3"/>
        <v>800</v>
      </c>
    </row>
    <row r="214" spans="1:5">
      <c r="A214" s="679">
        <f>Compte!A213</f>
        <v>6276</v>
      </c>
      <c r="B214" s="679" t="str">
        <f>Compte!B213</f>
        <v>Cadeaux à la clientèle</v>
      </c>
      <c r="C214" s="680">
        <f>SUMIF(Journal!$C$7:$C$2000,A214,Journal!$G$7:$G$2000)</f>
        <v>800</v>
      </c>
      <c r="D214" s="680">
        <f>SUMIF(Journal!$D$7:$D$2000,A214,Journal!$G$7:$G$2000)</f>
        <v>0</v>
      </c>
      <c r="E214" s="680">
        <f t="shared" si="3"/>
        <v>800</v>
      </c>
    </row>
    <row r="215" spans="1:5">
      <c r="A215" s="679">
        <f>Compte!A214</f>
        <v>6277</v>
      </c>
      <c r="B215" s="679" t="str">
        <f>Compte!B214</f>
        <v>Frais de colloques, séminaires, conférences</v>
      </c>
      <c r="C215" s="680">
        <f>SUMIF(Journal!$C$7:$C$2000,A215,Journal!$G$7:$G$2000)</f>
        <v>800</v>
      </c>
      <c r="D215" s="680">
        <f>SUMIF(Journal!$D$7:$D$2000,A215,Journal!$G$7:$G$2000)</f>
        <v>0</v>
      </c>
      <c r="E215" s="680">
        <f t="shared" si="3"/>
        <v>800</v>
      </c>
    </row>
    <row r="216" spans="1:5">
      <c r="A216" s="679">
        <f>Compte!A215</f>
        <v>6278</v>
      </c>
      <c r="B216" s="679" t="str">
        <f>Compte!B215</f>
        <v>Autres charges de publicité et relations publiques</v>
      </c>
      <c r="C216" s="680">
        <f>SUMIF(Journal!$C$7:$C$2000,A216,Journal!$G$7:$G$2000)</f>
        <v>800</v>
      </c>
      <c r="D216" s="680">
        <f>SUMIF(Journal!$D$7:$D$2000,A216,Journal!$G$7:$G$2000)</f>
        <v>0</v>
      </c>
      <c r="E216" s="680">
        <f t="shared" si="3"/>
        <v>800</v>
      </c>
    </row>
    <row r="217" spans="1:5">
      <c r="A217" s="679">
        <f>Compte!A216</f>
        <v>6281</v>
      </c>
      <c r="B217" s="679" t="str">
        <f>Compte!B216</f>
        <v>Frais de téléphone</v>
      </c>
      <c r="C217" s="680">
        <f>SUMIF(Journal!$C$7:$C$2000,A217,Journal!$G$7:$G$2000)</f>
        <v>800</v>
      </c>
      <c r="D217" s="680">
        <f>SUMIF(Journal!$D$7:$D$2000,A217,Journal!$G$7:$G$2000)</f>
        <v>0</v>
      </c>
      <c r="E217" s="680">
        <f t="shared" si="3"/>
        <v>800</v>
      </c>
    </row>
    <row r="218" spans="1:5">
      <c r="A218" s="679">
        <f>Compte!A217</f>
        <v>6282</v>
      </c>
      <c r="B218" s="679" t="str">
        <f>Compte!B217</f>
        <v>Frais d'internet</v>
      </c>
      <c r="C218" s="680">
        <f>SUMIF(Journal!$C$7:$C$2000,A218,Journal!$G$7:$G$2000)</f>
        <v>800</v>
      </c>
      <c r="D218" s="680">
        <f>SUMIF(Journal!$D$7:$D$2000,A218,Journal!$G$7:$G$2000)</f>
        <v>0</v>
      </c>
      <c r="E218" s="680">
        <f t="shared" si="3"/>
        <v>800</v>
      </c>
    </row>
    <row r="219" spans="1:5">
      <c r="A219" s="679">
        <f>Compte!A218</f>
        <v>6283</v>
      </c>
      <c r="B219" s="679" t="str">
        <f>Compte!B218</f>
        <v>Frais de télécopie</v>
      </c>
      <c r="C219" s="680">
        <f>SUMIF(Journal!$C$7:$C$2000,A219,Journal!$G$7:$G$2000)</f>
        <v>800</v>
      </c>
      <c r="D219" s="680">
        <f>SUMIF(Journal!$D$7:$D$2000,A219,Journal!$G$7:$G$2000)</f>
        <v>0</v>
      </c>
      <c r="E219" s="680">
        <f t="shared" si="3"/>
        <v>800</v>
      </c>
    </row>
    <row r="220" spans="1:5">
      <c r="A220" s="679">
        <f>Compte!A219</f>
        <v>6288</v>
      </c>
      <c r="B220" s="679" t="str">
        <f>Compte!B219</f>
        <v>Autres frais de télécommunications</v>
      </c>
      <c r="C220" s="680">
        <f>SUMIF(Journal!$C$7:$C$2000,A220,Journal!$G$7:$G$2000)</f>
        <v>800</v>
      </c>
      <c r="D220" s="680">
        <f>SUMIF(Journal!$D$7:$D$2000,A220,Journal!$G$7:$G$2000)</f>
        <v>0</v>
      </c>
      <c r="E220" s="680">
        <f t="shared" si="3"/>
        <v>800</v>
      </c>
    </row>
    <row r="221" spans="1:5">
      <c r="A221" s="679">
        <f>Compte!A220</f>
        <v>6324</v>
      </c>
      <c r="B221" s="679" t="str">
        <f>Compte!B220</f>
        <v>Honoraires</v>
      </c>
      <c r="C221" s="680">
        <f>SUMIF(Journal!$C$7:$C$2000,A221,Journal!$G$7:$G$2000)</f>
        <v>6300</v>
      </c>
      <c r="D221" s="680">
        <f>SUMIF(Journal!$D$7:$D$2000,A221,Journal!$G$7:$G$2000)</f>
        <v>0</v>
      </c>
      <c r="E221" s="680">
        <f t="shared" si="3"/>
        <v>6300</v>
      </c>
    </row>
    <row r="222" spans="1:5">
      <c r="A222" s="679">
        <f>Compte!A221</f>
        <v>6325</v>
      </c>
      <c r="B222" s="679" t="str">
        <f>Compte!B221</f>
        <v>Frais d'actes et de contentieux</v>
      </c>
      <c r="C222" s="680">
        <f>SUMIF(Journal!$C$7:$C$2000,A222,Journal!$G$7:$G$2000)</f>
        <v>800</v>
      </c>
      <c r="D222" s="680">
        <f>SUMIF(Journal!$D$7:$D$2000,A222,Journal!$G$7:$G$2000)</f>
        <v>0</v>
      </c>
      <c r="E222" s="680">
        <f t="shared" si="3"/>
        <v>800</v>
      </c>
    </row>
    <row r="223" spans="1:5">
      <c r="A223" s="679">
        <f>Compte!A222</f>
        <v>6328</v>
      </c>
      <c r="B223" s="679" t="str">
        <f>Compte!B222</f>
        <v>Divers frais</v>
      </c>
      <c r="C223" s="680">
        <f>SUMIF(Journal!$C$7:$C$2000,A223,Journal!$G$7:$G$2000)</f>
        <v>800</v>
      </c>
      <c r="D223" s="680">
        <f>SUMIF(Journal!$D$7:$D$2000,A223,Journal!$G$7:$G$2000)</f>
        <v>0</v>
      </c>
      <c r="E223" s="680">
        <f t="shared" si="3"/>
        <v>800</v>
      </c>
    </row>
    <row r="224" spans="1:5">
      <c r="A224" s="679">
        <f>Compte!A223</f>
        <v>6342</v>
      </c>
      <c r="B224" s="679" t="str">
        <f>Compte!B223</f>
        <v>Redevances pour brevets, licences, concessions et droits similaires</v>
      </c>
      <c r="C224" s="680">
        <f>SUMIF(Journal!$C$7:$C$2000,A224,Journal!$G$7:$G$2000)</f>
        <v>800</v>
      </c>
      <c r="D224" s="680">
        <f>SUMIF(Journal!$D$7:$D$2000,A224,Journal!$G$7:$G$2000)</f>
        <v>0</v>
      </c>
      <c r="E224" s="680">
        <f t="shared" si="3"/>
        <v>800</v>
      </c>
    </row>
    <row r="225" spans="1:5">
      <c r="A225" s="679">
        <f>Compte!A224</f>
        <v>6350</v>
      </c>
      <c r="B225" s="679" t="str">
        <f>Compte!B224</f>
        <v>Autres impôts, droit et autres enregistrements</v>
      </c>
      <c r="C225" s="680">
        <f>SUMIF(Journal!$C$7:$C$2000,A225,Journal!$G$7:$G$2000)</f>
        <v>1400</v>
      </c>
      <c r="D225" s="680">
        <f>SUMIF(Journal!$D$7:$D$2000,A225,Journal!$G$7:$G$2000)</f>
        <v>0</v>
      </c>
      <c r="E225" s="680">
        <f t="shared" si="3"/>
        <v>1400</v>
      </c>
    </row>
    <row r="226" spans="1:5">
      <c r="A226" s="679">
        <f>Compte!A225</f>
        <v>6351</v>
      </c>
      <c r="B226" s="679" t="str">
        <f>Compte!B225</f>
        <v>Cotisations</v>
      </c>
      <c r="C226" s="680">
        <f>SUMIF(Journal!$C$7:$C$2000,A226,Journal!$G$7:$G$2000)</f>
        <v>0</v>
      </c>
      <c r="D226" s="680">
        <f>SUMIF(Journal!$D$7:$D$2000,A226,Journal!$G$7:$G$2000)</f>
        <v>0</v>
      </c>
      <c r="E226" s="680">
        <f t="shared" si="3"/>
        <v>0</v>
      </c>
    </row>
    <row r="227" spans="1:5">
      <c r="A227" s="679">
        <f>Compte!A226</f>
        <v>6611</v>
      </c>
      <c r="B227" s="679" t="str">
        <f>Compte!B226</f>
        <v>Appointements salaires et commissions</v>
      </c>
      <c r="C227" s="680">
        <f>SUMIF(Journal!$C$7:$C$2000,A227,Journal!$G$7:$G$2000)</f>
        <v>200000</v>
      </c>
      <c r="D227" s="680">
        <f>SUMIF(Journal!$D$7:$D$2000,A227,Journal!$G$7:$G$2000)</f>
        <v>0</v>
      </c>
      <c r="E227" s="680">
        <f t="shared" si="3"/>
        <v>200000</v>
      </c>
    </row>
    <row r="228" spans="1:5">
      <c r="A228" s="679">
        <f>Compte!A227</f>
        <v>6612</v>
      </c>
      <c r="B228" s="679" t="str">
        <f>Compte!B227</f>
        <v>Primes et gratifications</v>
      </c>
      <c r="C228" s="680">
        <f>SUMIF(Journal!$C$7:$C$2000,A228,Journal!$G$7:$G$2000)</f>
        <v>0</v>
      </c>
      <c r="D228" s="680">
        <f>SUMIF(Journal!$D$7:$D$2000,A228,Journal!$G$7:$G$2000)</f>
        <v>0</v>
      </c>
      <c r="E228" s="680">
        <f t="shared" si="3"/>
        <v>0</v>
      </c>
    </row>
    <row r="229" spans="1:5">
      <c r="A229" s="679">
        <f>Compte!A228</f>
        <v>6613</v>
      </c>
      <c r="B229" s="679" t="str">
        <f>Compte!B228</f>
        <v>Congés payés</v>
      </c>
      <c r="C229" s="680">
        <f>SUMIF(Journal!$C$7:$C$2000,A229,Journal!$G$7:$G$2000)</f>
        <v>0</v>
      </c>
      <c r="D229" s="680">
        <f>SUMIF(Journal!$D$7:$D$2000,A229,Journal!$G$7:$G$2000)</f>
        <v>0</v>
      </c>
      <c r="E229" s="680">
        <f t="shared" si="3"/>
        <v>0</v>
      </c>
    </row>
    <row r="230" spans="1:5">
      <c r="A230" s="679">
        <f>Compte!A229</f>
        <v>6614</v>
      </c>
      <c r="B230" s="679" t="str">
        <f>Compte!B229</f>
        <v>Indemnités de préavis, de licenciement et de recherche d'embauche</v>
      </c>
      <c r="C230" s="680">
        <f>SUMIF(Journal!$C$7:$C$2000,A230,Journal!$G$7:$G$2000)</f>
        <v>0</v>
      </c>
      <c r="D230" s="680">
        <f>SUMIF(Journal!$D$7:$D$2000,A230,Journal!$G$7:$G$2000)</f>
        <v>0</v>
      </c>
      <c r="E230" s="680">
        <f t="shared" si="3"/>
        <v>0</v>
      </c>
    </row>
    <row r="231" spans="1:5">
      <c r="A231" s="679">
        <f>Compte!A230</f>
        <v>6615</v>
      </c>
      <c r="B231" s="679" t="str">
        <f>Compte!B230</f>
        <v>Indemnités de maladie versées aux travailleurs</v>
      </c>
      <c r="C231" s="680">
        <f>SUMIF(Journal!$C$7:$C$2000,A231,Journal!$G$7:$G$2000)</f>
        <v>0</v>
      </c>
      <c r="D231" s="680">
        <f>SUMIF(Journal!$D$7:$D$2000,A231,Journal!$G$7:$G$2000)</f>
        <v>0</v>
      </c>
      <c r="E231" s="680">
        <f t="shared" si="3"/>
        <v>0</v>
      </c>
    </row>
    <row r="232" spans="1:5">
      <c r="A232" s="679">
        <f>Compte!A231</f>
        <v>6616</v>
      </c>
      <c r="B232" s="679" t="str">
        <f>Compte!B231</f>
        <v>Supplément familial</v>
      </c>
      <c r="C232" s="680">
        <f>SUMIF(Journal!$C$7:$C$2000,A232,Journal!$G$7:$G$2000)</f>
        <v>0</v>
      </c>
      <c r="D232" s="680">
        <f>SUMIF(Journal!$D$7:$D$2000,A232,Journal!$G$7:$G$2000)</f>
        <v>0</v>
      </c>
      <c r="E232" s="680">
        <f t="shared" si="3"/>
        <v>0</v>
      </c>
    </row>
    <row r="233" spans="1:5">
      <c r="A233" s="679">
        <f>Compte!A232</f>
        <v>6617</v>
      </c>
      <c r="B233" s="679" t="str">
        <f>Compte!B232</f>
        <v>Avantages en nature</v>
      </c>
      <c r="C233" s="680">
        <f>SUMIF(Journal!$C$7:$C$2000,A233,Journal!$G$7:$G$2000)</f>
        <v>0</v>
      </c>
      <c r="D233" s="680">
        <f>SUMIF(Journal!$D$7:$D$2000,A233,Journal!$G$7:$G$2000)</f>
        <v>0</v>
      </c>
      <c r="E233" s="680">
        <f t="shared" si="3"/>
        <v>0</v>
      </c>
    </row>
    <row r="234" spans="1:5">
      <c r="A234" s="679">
        <f>Compte!A233</f>
        <v>6618</v>
      </c>
      <c r="B234" s="679" t="str">
        <f>Compte!B233</f>
        <v>Autres rémunérations directes</v>
      </c>
      <c r="C234" s="680">
        <f>SUMIF(Journal!$C$7:$C$2000,A234,Journal!$G$7:$G$2000)</f>
        <v>0</v>
      </c>
      <c r="D234" s="680">
        <f>SUMIF(Journal!$D$7:$D$2000,A234,Journal!$G$7:$G$2000)</f>
        <v>0</v>
      </c>
      <c r="E234" s="680">
        <f t="shared" si="3"/>
        <v>0</v>
      </c>
    </row>
    <row r="235" spans="1:5">
      <c r="A235" s="679">
        <f>Compte!A234</f>
        <v>6640</v>
      </c>
      <c r="B235" s="679" t="str">
        <f>Compte!B234</f>
        <v>Charges sociales</v>
      </c>
      <c r="C235" s="680">
        <f>SUMIF(Journal!$C$7:$C$2000,A235,Journal!$G$7:$G$2000)</f>
        <v>0</v>
      </c>
      <c r="D235" s="680">
        <f>SUMIF(Journal!$D$7:$D$2000,A235,Journal!$G$7:$G$2000)</f>
        <v>0</v>
      </c>
      <c r="E235" s="680">
        <f t="shared" si="3"/>
        <v>0</v>
      </c>
    </row>
    <row r="236" spans="1:5">
      <c r="A236" s="679">
        <f>Compte!A235</f>
        <v>6661</v>
      </c>
      <c r="B236" s="679" t="str">
        <f>Compte!B235</f>
        <v>Rémunérations. travail l'exploitant</v>
      </c>
      <c r="C236" s="680">
        <f>SUMIF(Journal!$C$7:$C$2000,A236,Journal!$G$7:$G$2000)</f>
        <v>0</v>
      </c>
      <c r="D236" s="680">
        <f>SUMIF(Journal!$D$7:$D$2000,A236,Journal!$G$7:$G$2000)</f>
        <v>0</v>
      </c>
      <c r="E236" s="680">
        <f t="shared" si="3"/>
        <v>0</v>
      </c>
    </row>
    <row r="237" spans="1:5">
      <c r="A237" s="679">
        <f>Compte!A236</f>
        <v>6662</v>
      </c>
      <c r="B237" s="679" t="str">
        <f>Compte!B236</f>
        <v>Charges sociales</v>
      </c>
      <c r="C237" s="680">
        <f>SUMIF(Journal!$C$7:$C$2000,A237,Journal!$G$7:$G$2000)</f>
        <v>70000</v>
      </c>
      <c r="D237" s="680">
        <f>SUMIF(Journal!$D$7:$D$2000,A237,Journal!$G$7:$G$2000)</f>
        <v>0</v>
      </c>
      <c r="E237" s="680">
        <f t="shared" si="3"/>
        <v>70000</v>
      </c>
    </row>
    <row r="238" spans="1:5">
      <c r="A238" s="679">
        <f>Compte!A237</f>
        <v>6710</v>
      </c>
      <c r="B238" s="679" t="str">
        <f>Compte!B237</f>
        <v>Intérêts des emprunts</v>
      </c>
      <c r="C238" s="680">
        <f>SUMIF(Journal!$C$7:$C$2000,A238,Journal!$G$7:$G$2000)</f>
        <v>25000</v>
      </c>
      <c r="D238" s="680">
        <f>SUMIF(Journal!$D$7:$D$2000,A238,Journal!$G$7:$G$2000)</f>
        <v>0</v>
      </c>
      <c r="E238" s="680">
        <f t="shared" si="3"/>
        <v>25000</v>
      </c>
    </row>
    <row r="239" spans="1:5">
      <c r="A239" s="679">
        <f>Compte!A238</f>
        <v>6740</v>
      </c>
      <c r="B239" s="679" t="str">
        <f>Compte!B238</f>
        <v>Autres charges financière et intérêts</v>
      </c>
      <c r="C239" s="680">
        <f>SUMIF(Journal!$C$7:$C$2000,A239,Journal!$G$7:$G$2000)</f>
        <v>1650</v>
      </c>
      <c r="D239" s="680">
        <f>SUMIF(Journal!$D$7:$D$2000,A239,Journal!$G$7:$G$2000)</f>
        <v>0</v>
      </c>
      <c r="E239" s="680">
        <f t="shared" si="3"/>
        <v>1650</v>
      </c>
    </row>
    <row r="240" spans="1:5">
      <c r="A240" s="679">
        <f>Compte!A239</f>
        <v>6760</v>
      </c>
      <c r="B240" s="679" t="str">
        <f>Compte!B239</f>
        <v>Pertes de change</v>
      </c>
      <c r="C240" s="680">
        <f>SUMIF(Journal!$C$7:$C$2000,A240,Journal!$G$7:$G$2000)</f>
        <v>1000</v>
      </c>
      <c r="D240" s="680">
        <f>SUMIF(Journal!$D$7:$D$2000,A240,Journal!$G$7:$G$2000)</f>
        <v>0</v>
      </c>
      <c r="E240" s="680">
        <f t="shared" si="3"/>
        <v>1000</v>
      </c>
    </row>
    <row r="241" spans="1:5">
      <c r="A241" s="679">
        <f>Compte!A240</f>
        <v>6770</v>
      </c>
      <c r="B241" s="679" t="str">
        <f>Compte!B240</f>
        <v>Pertes sur cessions de titres placement</v>
      </c>
      <c r="C241" s="680">
        <f>SUMIF(Journal!$C$7:$C$2000,A241,Journal!$G$7:$G$2000)</f>
        <v>200</v>
      </c>
      <c r="D241" s="680">
        <f>SUMIF(Journal!$D$7:$D$2000,A241,Journal!$G$7:$G$2000)</f>
        <v>0</v>
      </c>
      <c r="E241" s="680">
        <f t="shared" si="3"/>
        <v>200</v>
      </c>
    </row>
    <row r="242" spans="1:5">
      <c r="A242" s="679">
        <f>Compte!A241</f>
        <v>6812</v>
      </c>
      <c r="B242" s="679" t="str">
        <f>Compte!B241</f>
        <v>Dotations aux amortissements des immobilisations incorporelles</v>
      </c>
      <c r="C242" s="680">
        <f>SUMIF(Journal!$C$7:$C$2000,A242,Journal!$G$7:$G$2000)</f>
        <v>3000</v>
      </c>
      <c r="D242" s="680">
        <f>SUMIF(Journal!$D$7:$D$2000,A242,Journal!$G$7:$G$2000)</f>
        <v>0</v>
      </c>
      <c r="E242" s="680">
        <f t="shared" si="3"/>
        <v>3000</v>
      </c>
    </row>
    <row r="243" spans="1:5">
      <c r="A243" s="679">
        <f>Compte!A242</f>
        <v>6813</v>
      </c>
      <c r="B243" s="679" t="str">
        <f>Compte!B242</f>
        <v>Dotations aux amortissements des immobilisations corporelles</v>
      </c>
      <c r="C243" s="680">
        <f>SUMIF(Journal!$C$7:$C$2000,A243,Journal!$G$7:$G$2000)</f>
        <v>10000</v>
      </c>
      <c r="D243" s="680">
        <f>SUMIF(Journal!$D$7:$D$2000,A243,Journal!$G$7:$G$2000)</f>
        <v>0</v>
      </c>
      <c r="E243" s="680">
        <f t="shared" si="3"/>
        <v>10000</v>
      </c>
    </row>
    <row r="244" spans="1:5">
      <c r="A244" s="679">
        <f>Compte!A243</f>
        <v>6870</v>
      </c>
      <c r="B244" s="679" t="str">
        <f>Compte!B243</f>
        <v>Dot. amort.à caractère financier</v>
      </c>
      <c r="C244" s="680">
        <f>SUMIF(Journal!$C$7:$C$2000,A244,Journal!$G$7:$G$2000)</f>
        <v>0</v>
      </c>
      <c r="D244" s="680">
        <f>SUMIF(Journal!$D$7:$D$2000,A244,Journal!$G$7:$G$2000)</f>
        <v>0</v>
      </c>
      <c r="E244" s="680">
        <f t="shared" si="3"/>
        <v>0</v>
      </c>
    </row>
    <row r="245" spans="1:5">
      <c r="A245" s="679">
        <f>Compte!A244</f>
        <v>6970</v>
      </c>
      <c r="B245" s="679" t="str">
        <f>Compte!B244</f>
        <v>Dotat. aux provis. Financières</v>
      </c>
      <c r="C245" s="680">
        <f>SUMIF(Journal!$C$7:$C$2000,A245,Journal!$G$7:$G$2000)</f>
        <v>13000</v>
      </c>
      <c r="D245" s="680">
        <f>SUMIF(Journal!$D$7:$D$2000,A245,Journal!$G$7:$G$2000)</f>
        <v>0</v>
      </c>
      <c r="E245" s="680">
        <f t="shared" si="3"/>
        <v>13000</v>
      </c>
    </row>
    <row r="246" spans="1:5">
      <c r="A246" s="679">
        <f>Compte!A245</f>
        <v>830</v>
      </c>
      <c r="B246" s="679" t="str">
        <f>Compte!B245</f>
        <v>Charges hors activité ordinaire</v>
      </c>
      <c r="C246" s="680">
        <f>SUMIF(Journal!$C$7:$C$2000,A246,Journal!$G$7:$G$2000)</f>
        <v>2000</v>
      </c>
      <c r="D246" s="680">
        <f>SUMIF(Journal!$D$7:$D$2000,A246,Journal!$G$7:$G$2000)</f>
        <v>0</v>
      </c>
      <c r="E246" s="680">
        <f t="shared" si="3"/>
        <v>2000</v>
      </c>
    </row>
    <row r="247" spans="1:5">
      <c r="A247" s="679">
        <f>Compte!A246</f>
        <v>831</v>
      </c>
      <c r="B247" s="679" t="str">
        <f>Compte!B246</f>
        <v>Perte sur créance devenue irrécouvrable</v>
      </c>
      <c r="C247" s="680">
        <f>SUMIF(Journal!$C$7:$C$2000,A247,Journal!$G$7:$G$2000)</f>
        <v>0</v>
      </c>
      <c r="D247" s="680">
        <f>SUMIF(Journal!$D$7:$D$2000,A247,Journal!$G$7:$G$2000)</f>
        <v>0</v>
      </c>
      <c r="E247" s="680">
        <f t="shared" si="3"/>
        <v>0</v>
      </c>
    </row>
    <row r="248" spans="1:5">
      <c r="A248" s="679">
        <f>Compte!A247</f>
        <v>835</v>
      </c>
      <c r="B248" s="679" t="str">
        <f>Compte!B247</f>
        <v>Dons et libéralités accordés</v>
      </c>
      <c r="C248" s="680">
        <f>SUMIF(Journal!$C$7:$C$2000,A248,Journal!$G$7:$G$2000)</f>
        <v>0</v>
      </c>
      <c r="D248" s="680">
        <f>SUMIF(Journal!$D$7:$D$2000,A248,Journal!$G$7:$G$2000)</f>
        <v>0</v>
      </c>
      <c r="E248" s="680">
        <f t="shared" si="3"/>
        <v>0</v>
      </c>
    </row>
    <row r="249" spans="1:5">
      <c r="A249" s="679">
        <f>Compte!A248</f>
        <v>8393</v>
      </c>
      <c r="B249" s="679" t="str">
        <f>Compte!B248</f>
        <v>Charges provisionnées H.A.O. Stocks</v>
      </c>
      <c r="C249" s="680">
        <f>SUMIF(Journal!$C$7:$C$2000,A249,Journal!$G$7:$G$2000)</f>
        <v>0</v>
      </c>
      <c r="D249" s="680">
        <f>SUMIF(Journal!$D$7:$D$2000,A249,Journal!$G$7:$G$2000)</f>
        <v>0</v>
      </c>
      <c r="E249" s="680">
        <f t="shared" si="3"/>
        <v>0</v>
      </c>
    </row>
    <row r="250" spans="1:5">
      <c r="A250" s="679">
        <f>Compte!A249</f>
        <v>8394</v>
      </c>
      <c r="B250" s="679" t="str">
        <f>Compte!B249</f>
        <v>Charges provisionnées H.A.O. Tiers</v>
      </c>
      <c r="C250" s="680">
        <f>SUMIF(Journal!$C$7:$C$2000,A250,Journal!$G$7:$G$2000)</f>
        <v>0</v>
      </c>
      <c r="D250" s="680">
        <f>SUMIF(Journal!$D$7:$D$2000,A250,Journal!$G$7:$G$2000)</f>
        <v>0</v>
      </c>
      <c r="E250" s="680">
        <f t="shared" si="3"/>
        <v>0</v>
      </c>
    </row>
    <row r="251" spans="1:5">
      <c r="A251" s="679">
        <f>Compte!A250</f>
        <v>8395</v>
      </c>
      <c r="B251" s="679" t="str">
        <f>Compte!B250</f>
        <v>Charges provisionnées H.A.O. Trésorerie</v>
      </c>
      <c r="C251" s="680">
        <f>SUMIF(Journal!$C$7:$C$2000,A251,Journal!$G$7:$G$2000)</f>
        <v>0</v>
      </c>
      <c r="D251" s="680">
        <f>SUMIF(Journal!$D$7:$D$2000,A251,Journal!$G$7:$G$2000)</f>
        <v>0</v>
      </c>
      <c r="E251" s="680">
        <f t="shared" si="3"/>
        <v>0</v>
      </c>
    </row>
    <row r="252" spans="1:5">
      <c r="A252" s="679">
        <f>Compte!A251</f>
        <v>811</v>
      </c>
      <c r="B252" s="679" t="str">
        <f>Compte!B251</f>
        <v>Valeurs comptables cess. Immob incorpo</v>
      </c>
      <c r="C252" s="680">
        <f>SUMIF(Journal!$C$7:$C$2000,A252,Journal!$G$7:$G$2000)</f>
        <v>0</v>
      </c>
      <c r="D252" s="680">
        <f>SUMIF(Journal!$D$7:$D$2000,A252,Journal!$G$7:$G$2000)</f>
        <v>0</v>
      </c>
      <c r="E252" s="680">
        <f t="shared" si="3"/>
        <v>0</v>
      </c>
    </row>
    <row r="253" spans="1:5">
      <c r="A253" s="679">
        <f>Compte!A252</f>
        <v>812</v>
      </c>
      <c r="B253" s="679" t="str">
        <f>Compte!B252</f>
        <v>Valeurs comptables cess. Immob. Corpo</v>
      </c>
      <c r="C253" s="680">
        <f>SUMIF(Journal!$C$7:$C$2000,A253,Journal!$G$7:$G$2000)</f>
        <v>65500</v>
      </c>
      <c r="D253" s="680">
        <f>SUMIF(Journal!$D$7:$D$2000,A253,Journal!$G$7:$G$2000)</f>
        <v>0</v>
      </c>
      <c r="E253" s="680">
        <f t="shared" si="3"/>
        <v>65500</v>
      </c>
    </row>
    <row r="254" spans="1:5">
      <c r="A254" s="679">
        <f>Compte!A253</f>
        <v>813</v>
      </c>
      <c r="B254" s="679" t="str">
        <f>Compte!B253</f>
        <v>Valeurs comptables cess. Immob. Finan</v>
      </c>
      <c r="C254" s="680">
        <f>SUMIF(Journal!$C$7:$C$2000,A254,Journal!$G$7:$G$2000)</f>
        <v>300</v>
      </c>
      <c r="D254" s="680">
        <f>SUMIF(Journal!$D$7:$D$2000,A254,Journal!$G$7:$G$2000)</f>
        <v>0</v>
      </c>
      <c r="E254" s="680">
        <f t="shared" si="3"/>
        <v>300</v>
      </c>
    </row>
    <row r="255" spans="1:5">
      <c r="A255" s="679">
        <f>Compte!A254</f>
        <v>851</v>
      </c>
      <c r="B255" s="679" t="str">
        <f>Compte!B254</f>
        <v>Dotat. aux amort et prov.  Immob incorpo</v>
      </c>
      <c r="C255" s="680">
        <f>SUMIF(Journal!$C$7:$C$2000,A255,Journal!$G$7:$G$2000)</f>
        <v>0</v>
      </c>
      <c r="D255" s="680">
        <f>SUMIF(Journal!$D$7:$D$2000,A255,Journal!$G$7:$G$2000)</f>
        <v>0</v>
      </c>
      <c r="E255" s="680">
        <f t="shared" si="3"/>
        <v>0</v>
      </c>
    </row>
    <row r="256" spans="1:5">
      <c r="A256" s="679">
        <f>Compte!A255</f>
        <v>852</v>
      </c>
      <c r="B256" s="679" t="str">
        <f>Compte!B255</f>
        <v>Dotat. aux amort et prov.  Immob corpo</v>
      </c>
      <c r="C256" s="680">
        <f>SUMIF(Journal!$C$7:$C$2000,A256,Journal!$G$7:$G$2000)</f>
        <v>0</v>
      </c>
      <c r="D256" s="680">
        <f>SUMIF(Journal!$D$7:$D$2000,A256,Journal!$G$7:$G$2000)</f>
        <v>0</v>
      </c>
      <c r="E256" s="680">
        <f t="shared" si="3"/>
        <v>0</v>
      </c>
    </row>
    <row r="257" spans="1:5">
      <c r="A257" s="679">
        <f>Compte!A256</f>
        <v>853</v>
      </c>
      <c r="B257" s="679" t="str">
        <f>Compte!B256</f>
        <v>Dotat. aux amort et prov.  Immob finan</v>
      </c>
      <c r="C257" s="680">
        <f>SUMIF(Journal!$C$7:$C$2000,A257,Journal!$G$7:$G$2000)</f>
        <v>0</v>
      </c>
      <c r="D257" s="680">
        <f>SUMIF(Journal!$D$7:$D$2000,A257,Journal!$G$7:$G$2000)</f>
        <v>0</v>
      </c>
      <c r="E257" s="680">
        <f t="shared" si="3"/>
        <v>0</v>
      </c>
    </row>
    <row r="258" spans="1:5">
      <c r="A258" s="679">
        <f>Compte!A257</f>
        <v>7010</v>
      </c>
      <c r="B258" s="679" t="str">
        <f>Compte!B257</f>
        <v>Ventes Mach  &amp; P fini  à taux réduit</v>
      </c>
      <c r="C258" s="680">
        <f>SUMIF(Journal!$C$7:$C$2000,A258,Journal!$G$7:$G$2000)</f>
        <v>0</v>
      </c>
      <c r="D258" s="680">
        <f>SUMIF(Journal!$D$7:$D$2000,A258,Journal!$G$7:$G$2000)</f>
        <v>1000110</v>
      </c>
      <c r="E258" s="680">
        <f t="shared" si="3"/>
        <v>-1000110</v>
      </c>
    </row>
    <row r="259" spans="1:5">
      <c r="A259" s="679">
        <f>Compte!A258</f>
        <v>7011</v>
      </c>
      <c r="B259" s="679" t="str">
        <f>Compte!B258</f>
        <v>Ventes Mach  &amp; P fini  à taux normal</v>
      </c>
      <c r="C259" s="680">
        <f>SUMIF(Journal!$C$7:$C$2000,A259,Journal!$G$7:$G$2000)</f>
        <v>10</v>
      </c>
      <c r="D259" s="680">
        <f>SUMIF(Journal!$D$7:$D$2000,A259,Journal!$G$7:$G$2000)</f>
        <v>1140</v>
      </c>
      <c r="E259" s="680">
        <f t="shared" si="3"/>
        <v>-1130</v>
      </c>
    </row>
    <row r="260" spans="1:5">
      <c r="A260" s="679">
        <f>Compte!A259</f>
        <v>7012</v>
      </c>
      <c r="B260" s="679" t="str">
        <f>Compte!B259</f>
        <v>Ventes Mach  &amp; P fini  à taux fort</v>
      </c>
      <c r="C260" s="680">
        <f>SUMIF(Journal!$C$7:$C$2000,A260,Journal!$G$7:$G$2000)</f>
        <v>0</v>
      </c>
      <c r="D260" s="680">
        <f>SUMIF(Journal!$D$7:$D$2000,A260,Journal!$G$7:$G$2000)</f>
        <v>0</v>
      </c>
      <c r="E260" s="680">
        <f t="shared" si="3"/>
        <v>0</v>
      </c>
    </row>
    <row r="261" spans="1:5">
      <c r="A261" s="679">
        <f>Compte!A260</f>
        <v>7031</v>
      </c>
      <c r="B261" s="679" t="str">
        <f>Compte!B260</f>
        <v>Produits interm. &amp; résiduels à taux réduit</v>
      </c>
      <c r="C261" s="680">
        <f>SUMIF(Journal!$C$7:$C$2000,A261,Journal!$G$7:$G$2000)</f>
        <v>0</v>
      </c>
      <c r="D261" s="680">
        <f>SUMIF(Journal!$D$7:$D$2000,A261,Journal!$G$7:$G$2000)</f>
        <v>4900</v>
      </c>
      <c r="E261" s="680">
        <f t="shared" ref="E261:E324" si="4">C261-D261</f>
        <v>-4900</v>
      </c>
    </row>
    <row r="262" spans="1:5">
      <c r="A262" s="679">
        <f>Compte!A261</f>
        <v>7032</v>
      </c>
      <c r="B262" s="679" t="str">
        <f>Compte!B261</f>
        <v>Produits interm. &amp; résideuels à taux normal</v>
      </c>
      <c r="C262" s="680">
        <f>SUMIF(Journal!$C$7:$C$2000,A262,Journal!$G$7:$G$2000)</f>
        <v>0</v>
      </c>
      <c r="D262" s="680">
        <f>SUMIF(Journal!$D$7:$D$2000,A262,Journal!$G$7:$G$2000)</f>
        <v>0</v>
      </c>
      <c r="E262" s="680">
        <f t="shared" si="4"/>
        <v>0</v>
      </c>
    </row>
    <row r="263" spans="1:5">
      <c r="A263" s="679">
        <f>Compte!A262</f>
        <v>7033</v>
      </c>
      <c r="B263" s="679" t="str">
        <f>Compte!B262</f>
        <v>Produits interm. &amp; résiduels à taux fort</v>
      </c>
      <c r="C263" s="680">
        <f>SUMIF(Journal!$C$7:$C$2000,A263,Journal!$G$7:$G$2000)</f>
        <v>0</v>
      </c>
      <c r="D263" s="680">
        <f>SUMIF(Journal!$D$7:$D$2000,A263,Journal!$G$7:$G$2000)</f>
        <v>0</v>
      </c>
      <c r="E263" s="680">
        <f t="shared" si="4"/>
        <v>0</v>
      </c>
    </row>
    <row r="264" spans="1:5">
      <c r="A264" s="679">
        <f>Compte!A263</f>
        <v>7061</v>
      </c>
      <c r="B264" s="679" t="str">
        <f>Compte!B263</f>
        <v>Services vendus  à taux réduit</v>
      </c>
      <c r="C264" s="680">
        <f>SUMIF(Journal!$C$7:$C$2000,A264,Journal!$G$7:$G$2000)</f>
        <v>0</v>
      </c>
      <c r="D264" s="680">
        <f>SUMIF(Journal!$D$7:$D$2000,A264,Journal!$G$7:$G$2000)</f>
        <v>0</v>
      </c>
      <c r="E264" s="680">
        <f t="shared" si="4"/>
        <v>0</v>
      </c>
    </row>
    <row r="265" spans="1:5">
      <c r="A265" s="679">
        <f>Compte!A264</f>
        <v>7062</v>
      </c>
      <c r="B265" s="679" t="str">
        <f>Compte!B264</f>
        <v>Services vendus à taux normal</v>
      </c>
      <c r="C265" s="680">
        <f>SUMIF(Journal!$C$7:$C$2000,A265,Journal!$G$7:$G$2000)</f>
        <v>0</v>
      </c>
      <c r="D265" s="680">
        <f>SUMIF(Journal!$D$7:$D$2000,A265,Journal!$G$7:$G$2000)</f>
        <v>1000</v>
      </c>
      <c r="E265" s="680">
        <f t="shared" si="4"/>
        <v>-1000</v>
      </c>
    </row>
    <row r="266" spans="1:5">
      <c r="A266" s="679">
        <f>Compte!A265</f>
        <v>7063</v>
      </c>
      <c r="B266" s="679" t="str">
        <f>Compte!B265</f>
        <v>Services vendus à taux fort</v>
      </c>
      <c r="C266" s="680">
        <f>SUMIF(Journal!$C$7:$C$2000,A266,Journal!$G$7:$G$2000)</f>
        <v>0</v>
      </c>
      <c r="D266" s="680">
        <f>SUMIF(Journal!$D$7:$D$2000,A266,Journal!$G$7:$G$2000)</f>
        <v>0</v>
      </c>
      <c r="E266" s="680">
        <f t="shared" si="4"/>
        <v>0</v>
      </c>
    </row>
    <row r="267" spans="1:5">
      <c r="A267" s="679">
        <f>Compte!A266</f>
        <v>7021</v>
      </c>
      <c r="B267" s="679" t="str">
        <f>Compte!B266</f>
        <v>Ventes Mach  &amp; P fini UEMOA  &amp; RDM à taux réduit</v>
      </c>
      <c r="C267" s="680">
        <f>SUMIF(Journal!$C$7:$C$2000,A267,Journal!$G$7:$G$2000)</f>
        <v>0</v>
      </c>
      <c r="D267" s="680">
        <f>SUMIF(Journal!$D$7:$D$2000,A267,Journal!$G$7:$G$2000)</f>
        <v>500</v>
      </c>
      <c r="E267" s="680">
        <f t="shared" si="4"/>
        <v>-500</v>
      </c>
    </row>
    <row r="268" spans="1:5">
      <c r="A268" s="679">
        <f>Compte!A267</f>
        <v>7022</v>
      </c>
      <c r="B268" s="679" t="str">
        <f>Compte!B267</f>
        <v>Ventes Mach  &amp; P fini UEMOA  &amp; RDM à taux normal</v>
      </c>
      <c r="C268" s="680">
        <f>SUMIF(Journal!$C$7:$C$2000,A268,Journal!$G$7:$G$2000)</f>
        <v>0</v>
      </c>
      <c r="D268" s="680">
        <f>SUMIF(Journal!$D$7:$D$2000,A268,Journal!$G$7:$G$2000)</f>
        <v>1000</v>
      </c>
      <c r="E268" s="680">
        <f t="shared" si="4"/>
        <v>-1000</v>
      </c>
    </row>
    <row r="269" spans="1:5">
      <c r="A269" s="679">
        <f>Compte!A268</f>
        <v>7023</v>
      </c>
      <c r="B269" s="679" t="str">
        <f>Compte!B268</f>
        <v>Ventes Mach  &amp; P fini UEMOA  &amp; RDM à taux fort</v>
      </c>
      <c r="C269" s="680">
        <f>SUMIF(Journal!$C$7:$C$2000,A269,Journal!$G$7:$G$2000)</f>
        <v>0</v>
      </c>
      <c r="D269" s="680">
        <f>SUMIF(Journal!$D$7:$D$2000,A269,Journal!$G$7:$G$2000)</f>
        <v>200</v>
      </c>
      <c r="E269" s="680">
        <f t="shared" si="4"/>
        <v>-200</v>
      </c>
    </row>
    <row r="270" spans="1:5">
      <c r="A270" s="679">
        <f>Compte!A269</f>
        <v>7032</v>
      </c>
      <c r="B270" s="679" t="str">
        <f>Compte!B269</f>
        <v>Produits interm. &amp; résiduels UÉMOA &amp; RDM à taux réduit</v>
      </c>
      <c r="C270" s="680">
        <f>SUMIF(Journal!$C$7:$C$2000,A270,Journal!$G$7:$G$2000)</f>
        <v>0</v>
      </c>
      <c r="D270" s="680">
        <f>SUMIF(Journal!$D$7:$D$2000,A270,Journal!$G$7:$G$2000)</f>
        <v>0</v>
      </c>
      <c r="E270" s="680">
        <f t="shared" si="4"/>
        <v>0</v>
      </c>
    </row>
    <row r="271" spans="1:5">
      <c r="A271" s="679">
        <f>Compte!A270</f>
        <v>7033</v>
      </c>
      <c r="B271" s="679" t="str">
        <f>Compte!B270</f>
        <v>Produits interm. &amp; résiduels UÉMOA &amp; RDM à taux normal</v>
      </c>
      <c r="C271" s="680">
        <f>SUMIF(Journal!$C$7:$C$2000,A271,Journal!$G$7:$G$2000)</f>
        <v>0</v>
      </c>
      <c r="D271" s="680">
        <f>SUMIF(Journal!$D$7:$D$2000,A271,Journal!$G$7:$G$2000)</f>
        <v>0</v>
      </c>
      <c r="E271" s="680">
        <f t="shared" si="4"/>
        <v>0</v>
      </c>
    </row>
    <row r="272" spans="1:5">
      <c r="A272" s="679">
        <f>Compte!A271</f>
        <v>7034</v>
      </c>
      <c r="B272" s="679" t="str">
        <f>Compte!B271</f>
        <v>Produits interm. &amp; résiduels UÉMOA &amp; RDM à taux fort</v>
      </c>
      <c r="C272" s="680">
        <f>SUMIF(Journal!$C$7:$C$2000,A272,Journal!$G$7:$G$2000)</f>
        <v>0</v>
      </c>
      <c r="D272" s="680">
        <f>SUMIF(Journal!$D$7:$D$2000,A272,Journal!$G$7:$G$2000)</f>
        <v>10000</v>
      </c>
      <c r="E272" s="680">
        <f t="shared" si="4"/>
        <v>-10000</v>
      </c>
    </row>
    <row r="273" spans="1:5">
      <c r="A273" s="679">
        <f>Compte!A272</f>
        <v>7064</v>
      </c>
      <c r="B273" s="679" t="str">
        <f>Compte!B272</f>
        <v>Services vendus UÉMOA &amp;RDM à taux réduit</v>
      </c>
      <c r="C273" s="680">
        <f>SUMIF(Journal!$C$7:$C$2000,A273,Journal!$G$7:$G$2000)</f>
        <v>0</v>
      </c>
      <c r="D273" s="680">
        <f>SUMIF(Journal!$D$7:$D$2000,A273,Journal!$G$7:$G$2000)</f>
        <v>0</v>
      </c>
      <c r="E273" s="680">
        <f t="shared" si="4"/>
        <v>0</v>
      </c>
    </row>
    <row r="274" spans="1:5">
      <c r="A274" s="679">
        <f>Compte!A273</f>
        <v>7065</v>
      </c>
      <c r="B274" s="679" t="str">
        <f>Compte!B273</f>
        <v>Services vendus UÉMOA &amp;RDM à taux normal</v>
      </c>
      <c r="C274" s="680">
        <f>SUMIF(Journal!$C$7:$C$2000,A274,Journal!$G$7:$G$2000)</f>
        <v>0</v>
      </c>
      <c r="D274" s="680">
        <f>SUMIF(Journal!$D$7:$D$2000,A274,Journal!$G$7:$G$2000)</f>
        <v>50000</v>
      </c>
      <c r="E274" s="680">
        <f t="shared" si="4"/>
        <v>-50000</v>
      </c>
    </row>
    <row r="275" spans="1:5">
      <c r="A275" s="679">
        <f>Compte!A274</f>
        <v>7066</v>
      </c>
      <c r="B275" s="679" t="str">
        <f>Compte!B274</f>
        <v>Services vendus UÉMOA &amp;RDM à taux fort</v>
      </c>
      <c r="C275" s="680">
        <f>SUMIF(Journal!$C$7:$C$2000,A275,Journal!$G$7:$G$2000)</f>
        <v>0</v>
      </c>
      <c r="D275" s="680">
        <f>SUMIF(Journal!$D$7:$D$2000,A275,Journal!$G$7:$G$2000)</f>
        <v>0</v>
      </c>
      <c r="E275" s="680">
        <f t="shared" si="4"/>
        <v>0</v>
      </c>
    </row>
    <row r="276" spans="1:5">
      <c r="A276" s="679">
        <f>Compte!A275</f>
        <v>7500</v>
      </c>
      <c r="B276" s="679" t="str">
        <f>Compte!B275</f>
        <v>Frais de port , livraison &amp; Autres produits</v>
      </c>
      <c r="C276" s="680">
        <f>SUMIF(Journal!$C$7:$C$2000,A276,Journal!$G$7:$G$2000)</f>
        <v>0</v>
      </c>
      <c r="D276" s="680">
        <f>SUMIF(Journal!$D$7:$D$2000,A276,Journal!$G$7:$G$2000)</f>
        <v>80190</v>
      </c>
      <c r="E276" s="680">
        <f t="shared" si="4"/>
        <v>-80190</v>
      </c>
    </row>
    <row r="277" spans="1:5">
      <c r="A277" s="679">
        <f>Compte!A276</f>
        <v>7581</v>
      </c>
      <c r="B277" s="679" t="str">
        <f>Compte!B276</f>
        <v>Autoconsommation à taux réduit</v>
      </c>
      <c r="C277" s="680">
        <f>SUMIF(Journal!$C$7:$C$2000,A277,Journal!$G$7:$G$2000)</f>
        <v>0</v>
      </c>
      <c r="D277" s="680">
        <f>SUMIF(Journal!$D$7:$D$2000,A277,Journal!$G$7:$G$2000)</f>
        <v>0</v>
      </c>
      <c r="E277" s="680">
        <f t="shared" si="4"/>
        <v>0</v>
      </c>
    </row>
    <row r="278" spans="1:5">
      <c r="A278" s="679">
        <f>Compte!A277</f>
        <v>7582</v>
      </c>
      <c r="B278" s="679" t="str">
        <f>Compte!B277</f>
        <v>Autoconsommation à taux normal</v>
      </c>
      <c r="C278" s="680">
        <f>SUMIF(Journal!$C$7:$C$2000,A278,Journal!$G$7:$G$2000)</f>
        <v>0</v>
      </c>
      <c r="D278" s="680">
        <f>SUMIF(Journal!$D$7:$D$2000,A278,Journal!$G$7:$G$2000)</f>
        <v>1200</v>
      </c>
      <c r="E278" s="680">
        <f t="shared" si="4"/>
        <v>-1200</v>
      </c>
    </row>
    <row r="279" spans="1:5">
      <c r="A279" s="679">
        <f>Compte!A278</f>
        <v>7583</v>
      </c>
      <c r="B279" s="679" t="str">
        <f>Compte!B278</f>
        <v>Autoconsommation à taux fort</v>
      </c>
      <c r="C279" s="680">
        <f>SUMIF(Journal!$C$7:$C$2000,A279,Journal!$G$7:$G$2000)</f>
        <v>0</v>
      </c>
      <c r="D279" s="680">
        <f>SUMIF(Journal!$D$7:$D$2000,A279,Journal!$G$7:$G$2000)</f>
        <v>0</v>
      </c>
      <c r="E279" s="680">
        <f t="shared" si="4"/>
        <v>0</v>
      </c>
    </row>
    <row r="280" spans="1:5">
      <c r="A280" s="679">
        <f>Compte!A279</f>
        <v>7730</v>
      </c>
      <c r="B280" s="679" t="str">
        <f>Compte!B279</f>
        <v>Escomptes obtenus à taux réduit</v>
      </c>
      <c r="C280" s="680">
        <f>SUMIF(Journal!$C$7:$C$2000,A280,Journal!$G$7:$G$2000)</f>
        <v>0</v>
      </c>
      <c r="D280" s="680">
        <f>SUMIF(Journal!$D$7:$D$2000,A280,Journal!$G$7:$G$2000)</f>
        <v>10</v>
      </c>
      <c r="E280" s="680">
        <f t="shared" si="4"/>
        <v>-10</v>
      </c>
    </row>
    <row r="281" spans="1:5">
      <c r="A281" s="679">
        <f>Compte!A280</f>
        <v>7731</v>
      </c>
      <c r="B281" s="679" t="str">
        <f>Compte!B280</f>
        <v>Escomptes obtenus à taux normal</v>
      </c>
      <c r="C281" s="680">
        <f>SUMIF(Journal!$C$7:$C$2000,A281,Journal!$G$7:$G$2000)</f>
        <v>0</v>
      </c>
      <c r="D281" s="680">
        <f>SUMIF(Journal!$D$7:$D$2000,A281,Journal!$G$7:$G$2000)</f>
        <v>0</v>
      </c>
      <c r="E281" s="680">
        <f t="shared" si="4"/>
        <v>0</v>
      </c>
    </row>
    <row r="282" spans="1:5">
      <c r="A282" s="679">
        <f>Compte!A281</f>
        <v>7732</v>
      </c>
      <c r="B282" s="679" t="str">
        <f>Compte!B281</f>
        <v>Escomptes obtenus à taux fort</v>
      </c>
      <c r="C282" s="680">
        <f>SUMIF(Journal!$C$7:$C$2000,A282,Journal!$G$7:$G$2000)</f>
        <v>0</v>
      </c>
      <c r="D282" s="680">
        <f>SUMIF(Journal!$D$7:$D$2000,A282,Journal!$G$7:$G$2000)</f>
        <v>0</v>
      </c>
      <c r="E282" s="680">
        <f t="shared" si="4"/>
        <v>0</v>
      </c>
    </row>
    <row r="283" spans="1:5">
      <c r="A283" s="679">
        <f>Compte!A282</f>
        <v>6031</v>
      </c>
      <c r="B283" s="679" t="str">
        <f>Compte!B282</f>
        <v>Variations : stocks marchandises Aug</v>
      </c>
      <c r="C283" s="680"/>
      <c r="D283" s="680">
        <f>SUMIF(Journal!$D$7:$D$2000,A283,Journal!$G$7:$G$2000)</f>
        <v>10000</v>
      </c>
      <c r="E283" s="680">
        <f t="shared" si="4"/>
        <v>-10000</v>
      </c>
    </row>
    <row r="284" spans="1:5">
      <c r="A284" s="679">
        <f>Compte!A283</f>
        <v>6032</v>
      </c>
      <c r="B284" s="679" t="str">
        <f>Compte!B283</f>
        <v>Variations. Mat. premières, fournit. Aug</v>
      </c>
      <c r="C284" s="680"/>
      <c r="D284" s="680">
        <f>SUMIF(Journal!$D$7:$D$2000,A284,Journal!$G$7:$G$2000)</f>
        <v>30000</v>
      </c>
      <c r="E284" s="680">
        <f t="shared" si="4"/>
        <v>-30000</v>
      </c>
    </row>
    <row r="285" spans="1:5">
      <c r="A285" s="679">
        <f>Compte!A284</f>
        <v>6033</v>
      </c>
      <c r="B285" s="679" t="str">
        <f>Compte!B284</f>
        <v>Variations. Autres approvisionnement. Aug</v>
      </c>
      <c r="C285" s="680"/>
      <c r="D285" s="680">
        <f>SUMIF(Journal!$D$7:$D$2000,A285,Journal!$G$7:$G$2000)</f>
        <v>10000</v>
      </c>
      <c r="E285" s="680">
        <f t="shared" si="4"/>
        <v>-10000</v>
      </c>
    </row>
    <row r="286" spans="1:5">
      <c r="A286" s="679">
        <f>Compte!A285</f>
        <v>6034</v>
      </c>
      <c r="B286" s="679" t="str">
        <f>Compte!B285</f>
        <v>Variations. produits résiduels et intermédiaires aug</v>
      </c>
      <c r="C286" s="680"/>
      <c r="D286" s="680">
        <f>SUMIF(Journal!$D$7:$D$2000,A286,Journal!$G$7:$G$2000)</f>
        <v>10000</v>
      </c>
      <c r="E286" s="680">
        <f t="shared" si="4"/>
        <v>-10000</v>
      </c>
    </row>
    <row r="287" spans="1:5">
      <c r="A287" s="679">
        <f>Compte!A286</f>
        <v>6035</v>
      </c>
      <c r="B287" s="679" t="str">
        <f>Compte!B286</f>
        <v>Variation des en-cours de produits aug</v>
      </c>
      <c r="C287" s="680"/>
      <c r="D287" s="680">
        <f>SUMIF(Journal!$D$7:$D$2000,A287,Journal!$G$7:$G$2000)</f>
        <v>10000</v>
      </c>
      <c r="E287" s="680">
        <f t="shared" si="4"/>
        <v>-10000</v>
      </c>
    </row>
    <row r="288" spans="1:5">
      <c r="A288" s="679">
        <f>Compte!A287</f>
        <v>7360</v>
      </c>
      <c r="B288" s="679" t="str">
        <f>Compte!B287</f>
        <v>Variation des produits finis aug</v>
      </c>
      <c r="C288" s="680"/>
      <c r="D288" s="680">
        <f>SUMIF(Journal!$D$7:$D$2000,A288,Journal!$G$7:$G$2000)</f>
        <v>1500</v>
      </c>
      <c r="E288" s="680">
        <f t="shared" si="4"/>
        <v>-1500</v>
      </c>
    </row>
    <row r="289" spans="1:5">
      <c r="A289" s="679">
        <f>Compte!A288</f>
        <v>7073</v>
      </c>
      <c r="B289" s="679" t="str">
        <f>Compte!B288</f>
        <v>Locations</v>
      </c>
      <c r="C289" s="680">
        <f>SUMIF(Journal!$C$7:$C$2000,A289,Journal!$G$7:$G$2000)</f>
        <v>0</v>
      </c>
      <c r="D289" s="680">
        <f>SUMIF(Journal!$D$7:$D$2000,A289,Journal!$G$7:$G$2000)</f>
        <v>0</v>
      </c>
      <c r="E289" s="680">
        <f t="shared" si="4"/>
        <v>0</v>
      </c>
    </row>
    <row r="290" spans="1:5">
      <c r="A290" s="679">
        <f>Compte!A289</f>
        <v>7074</v>
      </c>
      <c r="B290" s="679" t="str">
        <f>Compte!B289</f>
        <v>Boni/reprises, cess. emballages</v>
      </c>
      <c r="C290" s="680">
        <f>SUMIF(Journal!$C$7:$C$2000,A290,Journal!$G$7:$G$2000)</f>
        <v>0</v>
      </c>
      <c r="D290" s="680">
        <f>SUMIF(Journal!$D$7:$D$2000,A290,Journal!$G$7:$G$2000)</f>
        <v>20</v>
      </c>
      <c r="E290" s="680">
        <f t="shared" si="4"/>
        <v>-20</v>
      </c>
    </row>
    <row r="291" spans="1:5">
      <c r="A291" s="679">
        <f>Compte!A290</f>
        <v>7075</v>
      </c>
      <c r="B291" s="679" t="str">
        <f>Compte!B290</f>
        <v>Mise à disposition de personnel</v>
      </c>
      <c r="C291" s="680">
        <f>SUMIF(Journal!$C$7:$C$2000,A291,Journal!$G$7:$G$2000)</f>
        <v>0</v>
      </c>
      <c r="D291" s="680">
        <f>SUMIF(Journal!$D$7:$D$2000,A291,Journal!$G$7:$G$2000)</f>
        <v>0</v>
      </c>
      <c r="E291" s="680">
        <f t="shared" si="4"/>
        <v>0</v>
      </c>
    </row>
    <row r="292" spans="1:5">
      <c r="A292" s="679">
        <f>Compte!A291</f>
        <v>7076</v>
      </c>
      <c r="B292" s="679" t="str">
        <f>Compte!B291</f>
        <v>Redevances brevets, logiciels</v>
      </c>
      <c r="C292" s="680">
        <f>SUMIF(Journal!$C$7:$C$2000,A292,Journal!$G$7:$G$2000)</f>
        <v>0</v>
      </c>
      <c r="D292" s="680">
        <f>SUMIF(Journal!$D$7:$D$2000,A292,Journal!$G$7:$G$2000)</f>
        <v>0</v>
      </c>
      <c r="E292" s="680">
        <f t="shared" si="4"/>
        <v>0</v>
      </c>
    </row>
    <row r="293" spans="1:5">
      <c r="A293" s="679">
        <f>Compte!A292</f>
        <v>7100</v>
      </c>
      <c r="B293" s="679" t="str">
        <f>Compte!B292</f>
        <v>Subventions d'exploitation (export &amp; import)</v>
      </c>
      <c r="C293" s="680">
        <f>SUMIF(Journal!$C$7:$C$2000,A293,Journal!$G$7:$G$2000)</f>
        <v>0</v>
      </c>
      <c r="D293" s="680">
        <f>SUMIF(Journal!$D$7:$D$2000,A293,Journal!$G$7:$G$2000)</f>
        <v>0</v>
      </c>
      <c r="E293" s="680">
        <f t="shared" si="4"/>
        <v>0</v>
      </c>
    </row>
    <row r="294" spans="1:5">
      <c r="A294" s="679">
        <f>Compte!A293</f>
        <v>718</v>
      </c>
      <c r="B294" s="679" t="str">
        <f>Compte!B293</f>
        <v>Autres subventions exploitation</v>
      </c>
      <c r="C294" s="680">
        <f>SUMIF(Journal!$C$7:$C$2000,A294,Journal!$G$7:$G$2000)</f>
        <v>0</v>
      </c>
      <c r="D294" s="680">
        <f>SUMIF(Journal!$D$7:$D$2000,A294,Journal!$G$7:$G$2000)</f>
        <v>0</v>
      </c>
      <c r="E294" s="680">
        <f t="shared" si="4"/>
        <v>0</v>
      </c>
    </row>
    <row r="295" spans="1:5">
      <c r="A295" s="679">
        <f>Compte!A294</f>
        <v>771</v>
      </c>
      <c r="B295" s="679" t="str">
        <f>Compte!B294</f>
        <v>Intérêts de prêts accordés</v>
      </c>
      <c r="C295" s="680">
        <f>SUMIF(Journal!$C$7:$C$2000,A295,Journal!$G$7:$G$2000)</f>
        <v>100</v>
      </c>
      <c r="D295" s="680">
        <f>SUMIF(Journal!$D$7:$D$2000,A295,Journal!$G$7:$G$2000)</f>
        <v>10500</v>
      </c>
      <c r="E295" s="680">
        <f t="shared" si="4"/>
        <v>-10400</v>
      </c>
    </row>
    <row r="296" spans="1:5">
      <c r="A296" s="679">
        <f>Compte!A295</f>
        <v>772</v>
      </c>
      <c r="B296" s="679" t="str">
        <f>Compte!B295</f>
        <v>Revenus de participations</v>
      </c>
      <c r="C296" s="680">
        <f>SUMIF(Journal!$C$7:$C$2000,A296,Journal!$G$7:$G$2000)</f>
        <v>0</v>
      </c>
      <c r="D296" s="680">
        <f>SUMIF(Journal!$D$7:$D$2000,A296,Journal!$G$7:$G$2000)</f>
        <v>0</v>
      </c>
      <c r="E296" s="680">
        <f t="shared" si="4"/>
        <v>0</v>
      </c>
    </row>
    <row r="297" spans="1:5">
      <c r="A297" s="679">
        <f>Compte!A296</f>
        <v>774</v>
      </c>
      <c r="B297" s="679" t="str">
        <f>Compte!B296</f>
        <v>Revenus de titres de placement</v>
      </c>
      <c r="C297" s="680">
        <f>SUMIF(Journal!$C$7:$C$2000,A297,Journal!$G$7:$G$2000)</f>
        <v>0</v>
      </c>
      <c r="D297" s="680">
        <f>SUMIF(Journal!$D$7:$D$2000,A297,Journal!$G$7:$G$2000)</f>
        <v>2400</v>
      </c>
      <c r="E297" s="680">
        <f t="shared" si="4"/>
        <v>-2400</v>
      </c>
    </row>
    <row r="298" spans="1:5">
      <c r="A298" s="679">
        <f>Compte!A297</f>
        <v>776</v>
      </c>
      <c r="B298" s="679" t="str">
        <f>Compte!B297</f>
        <v>Gains de change</v>
      </c>
      <c r="C298" s="680">
        <f>SUMIF(Journal!$C$7:$C$2000,A298,Journal!$G$7:$G$2000)</f>
        <v>0</v>
      </c>
      <c r="D298" s="680">
        <f>SUMIF(Journal!$D$7:$D$2000,A298,Journal!$G$7:$G$2000)</f>
        <v>1000</v>
      </c>
      <c r="E298" s="680">
        <f t="shared" si="4"/>
        <v>-1000</v>
      </c>
    </row>
    <row r="299" spans="1:5">
      <c r="A299" s="679">
        <f>Compte!A298</f>
        <v>777</v>
      </c>
      <c r="B299" s="679" t="str">
        <f>Compte!B298</f>
        <v>Gains Cessions titres placement</v>
      </c>
      <c r="C299" s="680">
        <f>SUMIF(Journal!$C$7:$C$2000,A299,Journal!$G$7:$G$2000)</f>
        <v>0</v>
      </c>
      <c r="D299" s="680">
        <f>SUMIF(Journal!$D$7:$D$2000,A299,Journal!$G$7:$G$2000)</f>
        <v>26100</v>
      </c>
      <c r="E299" s="680">
        <f t="shared" si="4"/>
        <v>-26100</v>
      </c>
    </row>
    <row r="300" spans="1:5">
      <c r="A300" s="679">
        <f>Compte!A299</f>
        <v>778</v>
      </c>
      <c r="B300" s="679" t="str">
        <f>Compte!B299</f>
        <v>Gains sur risques financiers</v>
      </c>
      <c r="C300" s="680">
        <f>SUMIF(Journal!$C$7:$C$2000,A300,Journal!$G$7:$G$2000)</f>
        <v>0</v>
      </c>
      <c r="D300" s="680">
        <f>SUMIF(Journal!$D$7:$D$2000,A300,Journal!$G$7:$G$2000)</f>
        <v>0</v>
      </c>
      <c r="E300" s="680">
        <f t="shared" si="4"/>
        <v>0</v>
      </c>
    </row>
    <row r="301" spans="1:5">
      <c r="A301" s="679">
        <f>Compte!A300</f>
        <v>7791</v>
      </c>
      <c r="B301" s="679" t="str">
        <f>Compte!B300</f>
        <v>Reprise Sur risques financiers</v>
      </c>
      <c r="C301" s="680">
        <f>SUMIF(Journal!$C$7:$C$2000,A301,Journal!$G$7:$G$2000)</f>
        <v>0</v>
      </c>
      <c r="D301" s="680">
        <f>SUMIF(Journal!$D$7:$D$2000,A301,Journal!$G$7:$G$2000)</f>
        <v>3000</v>
      </c>
      <c r="E301" s="680">
        <f t="shared" si="4"/>
        <v>-3000</v>
      </c>
    </row>
    <row r="302" spans="1:5">
      <c r="A302" s="679">
        <f>Compte!A301</f>
        <v>7795</v>
      </c>
      <c r="B302" s="679" t="str">
        <f>Compte!B301</f>
        <v>Reprises Sur titres de placement</v>
      </c>
      <c r="C302" s="680">
        <f>SUMIF(Journal!$C$7:$C$2000,A302,Journal!$G$7:$G$2000)</f>
        <v>0</v>
      </c>
      <c r="D302" s="680">
        <f>SUMIF(Journal!$D$7:$D$2000,A302,Journal!$G$7:$G$2000)</f>
        <v>0</v>
      </c>
      <c r="E302" s="680">
        <f t="shared" si="4"/>
        <v>0</v>
      </c>
    </row>
    <row r="303" spans="1:5">
      <c r="A303" s="679">
        <f>Compte!A302</f>
        <v>8210</v>
      </c>
      <c r="B303" s="679" t="str">
        <f>Compte!B302</f>
        <v>Produit de cession sur les immob. Incorporelles</v>
      </c>
      <c r="C303" s="680">
        <f>SUMIF(Journal!$C$7:$C$2000,A303,Journal!$G$7:$G$2000)</f>
        <v>0</v>
      </c>
      <c r="D303" s="680">
        <f>SUMIF(Journal!$D$7:$D$2000,A303,Journal!$G$7:$G$2000)</f>
        <v>0</v>
      </c>
      <c r="E303" s="680">
        <f t="shared" si="4"/>
        <v>0</v>
      </c>
    </row>
    <row r="304" spans="1:5">
      <c r="A304" s="679">
        <f>Compte!A303</f>
        <v>8220</v>
      </c>
      <c r="B304" s="679" t="str">
        <f>Compte!B303</f>
        <v>Produit de cession sur les immob. Corporelles</v>
      </c>
      <c r="C304" s="680">
        <f>SUMIF(Journal!$C$7:$C$2000,A304,Journal!$G$7:$G$2000)</f>
        <v>0</v>
      </c>
      <c r="D304" s="680">
        <f>SUMIF(Journal!$D$7:$D$2000,A304,Journal!$G$7:$G$2000)</f>
        <v>88000</v>
      </c>
      <c r="E304" s="680">
        <f t="shared" si="4"/>
        <v>-88000</v>
      </c>
    </row>
    <row r="305" spans="1:5">
      <c r="A305" s="679">
        <f>Compte!A304</f>
        <v>8230</v>
      </c>
      <c r="B305" s="679" t="str">
        <f>Compte!B304</f>
        <v>Produit de cession sur les immob. Financ.</v>
      </c>
      <c r="C305" s="680">
        <f>SUMIF(Journal!$C$7:$C$2000,A305,Journal!$G$7:$G$2000)</f>
        <v>0</v>
      </c>
      <c r="D305" s="680">
        <f>SUMIF(Journal!$D$7:$D$2000,A305,Journal!$G$7:$G$2000)</f>
        <v>430</v>
      </c>
      <c r="E305" s="680">
        <f t="shared" si="4"/>
        <v>-430</v>
      </c>
    </row>
    <row r="306" spans="1:5">
      <c r="A306" s="679">
        <f>Compte!A305</f>
        <v>840</v>
      </c>
      <c r="B306" s="679" t="str">
        <f>Compte!B305</f>
        <v>Produits hors activité ordinaire</v>
      </c>
      <c r="C306" s="680">
        <f>SUMIF(Journal!$C$7:$C$2000,A306,Journal!$G$7:$G$2000)</f>
        <v>0</v>
      </c>
      <c r="D306" s="680">
        <f>SUMIF(Journal!$D$7:$D$2000,A306,Journal!$G$7:$G$2000)</f>
        <v>1000</v>
      </c>
      <c r="E306" s="680">
        <f t="shared" si="4"/>
        <v>-1000</v>
      </c>
    </row>
    <row r="307" spans="1:5">
      <c r="A307" s="679">
        <f>Compte!A306</f>
        <v>845</v>
      </c>
      <c r="B307" s="679" t="str">
        <f>Compte!B306</f>
        <v>Dons et libéralités obtenus</v>
      </c>
      <c r="C307" s="680">
        <f>SUMIF(Journal!$C$7:$C$2000,A307,Journal!$G$7:$G$2000)</f>
        <v>0</v>
      </c>
      <c r="D307" s="680">
        <f>SUMIF(Journal!$D$7:$D$2000,A307,Journal!$G$7:$G$2000)</f>
        <v>0</v>
      </c>
      <c r="E307" s="680">
        <f t="shared" si="4"/>
        <v>0</v>
      </c>
    </row>
    <row r="308" spans="1:5">
      <c r="A308" s="679">
        <f>Compte!A307</f>
        <v>849</v>
      </c>
      <c r="B308" s="679" t="str">
        <f>Compte!B307</f>
        <v>Reprises sur Charges provisionnées H.A.O.</v>
      </c>
      <c r="C308" s="680">
        <f>SUMIF(Journal!$C$7:$C$2000,A308,Journal!$G$7:$G$2000)</f>
        <v>0</v>
      </c>
      <c r="D308" s="680">
        <f>SUMIF(Journal!$D$7:$D$2000,A308,Journal!$G$7:$G$2000)</f>
        <v>10000</v>
      </c>
      <c r="E308" s="680">
        <f t="shared" si="4"/>
        <v>-10000</v>
      </c>
    </row>
    <row r="309" spans="1:5">
      <c r="A309" s="679">
        <f>Compte!A308</f>
        <v>861</v>
      </c>
      <c r="B309" s="679" t="str">
        <f>Compte!B308</f>
        <v>Reprises provisions réglementées</v>
      </c>
      <c r="C309" s="680">
        <f>SUMIF(Journal!$C$7:$C$2000,A309,Journal!$G$7:$G$2000)</f>
        <v>0</v>
      </c>
      <c r="D309" s="680">
        <f>SUMIF(Journal!$D$7:$D$2000,A309,Journal!$G$7:$G$2000)</f>
        <v>0</v>
      </c>
      <c r="E309" s="680">
        <f t="shared" si="4"/>
        <v>0</v>
      </c>
    </row>
    <row r="310" spans="1:5">
      <c r="A310" s="679">
        <f>Compte!A309</f>
        <v>862</v>
      </c>
      <c r="B310" s="679" t="str">
        <f>Compte!B309</f>
        <v>Reprises d'amortissements H.A.O.</v>
      </c>
      <c r="C310" s="680">
        <f>SUMIF(Journal!$C$7:$C$2000,A310,Journal!$G$7:$G$2000)</f>
        <v>0</v>
      </c>
      <c r="D310" s="680">
        <f>SUMIF(Journal!$D$7:$D$2000,A310,Journal!$G$7:$G$2000)</f>
        <v>0</v>
      </c>
      <c r="E310" s="680">
        <f t="shared" si="4"/>
        <v>0</v>
      </c>
    </row>
    <row r="311" spans="1:5">
      <c r="A311" s="679">
        <f>Compte!A310</f>
        <v>863</v>
      </c>
      <c r="B311" s="679" t="str">
        <f>Compte!B310</f>
        <v>Repris. provis. dépréc. H.A.O.</v>
      </c>
      <c r="C311" s="680">
        <f>SUMIF(Journal!$C$7:$C$2000,A311,Journal!$G$7:$G$2000)</f>
        <v>0</v>
      </c>
      <c r="D311" s="680">
        <f>SUMIF(Journal!$D$7:$D$2000,A311,Journal!$G$7:$G$2000)</f>
        <v>0</v>
      </c>
      <c r="E311" s="680">
        <f t="shared" si="4"/>
        <v>0</v>
      </c>
    </row>
    <row r="312" spans="1:5">
      <c r="A312" s="679">
        <f>Compte!A311</f>
        <v>868</v>
      </c>
      <c r="B312" s="679" t="str">
        <f>Compte!B311</f>
        <v>Autres Reprises H.A.O.</v>
      </c>
      <c r="C312" s="680">
        <f>SUMIF(Journal!$C$7:$C$2000,A312,Journal!$G$7:$G$2000)</f>
        <v>0</v>
      </c>
      <c r="D312" s="680">
        <f>SUMIF(Journal!$D$7:$D$2000,A312,Journal!$G$7:$G$2000)</f>
        <v>0</v>
      </c>
      <c r="E312" s="680">
        <f t="shared" si="4"/>
        <v>0</v>
      </c>
    </row>
    <row r="313" spans="1:5">
      <c r="A313" s="679">
        <f>Compte!A312</f>
        <v>811</v>
      </c>
      <c r="B313" s="679" t="str">
        <f>Compte!B312</f>
        <v>Valeurs comptables cess. Immob incorpo</v>
      </c>
      <c r="C313" s="680">
        <f>SUMIF(Journal!$C$7:$C$2000,A313,Journal!$G$7:$G$2000)</f>
        <v>0</v>
      </c>
      <c r="D313" s="680">
        <f>SUMIF(Journal!$D$7:$D$2000,A313,Journal!$G$7:$G$2000)</f>
        <v>0</v>
      </c>
      <c r="E313" s="680">
        <f t="shared" si="4"/>
        <v>0</v>
      </c>
    </row>
    <row r="314" spans="1:5">
      <c r="A314" s="679">
        <f>Compte!A313</f>
        <v>812</v>
      </c>
      <c r="B314" s="679" t="str">
        <f>Compte!B313</f>
        <v>Valeurs comptables cess. Immob. Corpo</v>
      </c>
      <c r="C314" s="680">
        <f>SUMIF(Journal!$C$7:$C$2000,A314,Journal!$G$7:$G$2000)</f>
        <v>65500</v>
      </c>
      <c r="D314" s="680">
        <f>SUMIF(Journal!$D$7:$D$2000,A314,Journal!$G$7:$G$2000)</f>
        <v>0</v>
      </c>
      <c r="E314" s="680">
        <f t="shared" si="4"/>
        <v>65500</v>
      </c>
    </row>
    <row r="315" spans="1:5">
      <c r="A315" s="679">
        <f>Compte!A314</f>
        <v>813</v>
      </c>
      <c r="B315" s="679" t="str">
        <f>Compte!B314</f>
        <v>Valeurs comptables cess. Immob. Finan</v>
      </c>
      <c r="C315" s="680">
        <f>SUMIF(Journal!$C$7:$C$2000,A315,Journal!$G$7:$G$2000)</f>
        <v>300</v>
      </c>
      <c r="D315" s="680">
        <f>SUMIF(Journal!$D$7:$D$2000,A315,Journal!$G$7:$G$2000)</f>
        <v>0</v>
      </c>
      <c r="E315" s="680">
        <f t="shared" si="4"/>
        <v>300</v>
      </c>
    </row>
    <row r="316" spans="1:5">
      <c r="A316" s="679">
        <f>Compte!A315</f>
        <v>891</v>
      </c>
      <c r="B316" s="679" t="str">
        <f>Compte!B315</f>
        <v>Impôt sur les bénéfice de l'exercices</v>
      </c>
      <c r="C316" s="680">
        <f>SUMIF(Journal!$C$7:$C$2000,A316,Journal!$G$7:$G$2000)</f>
        <v>0</v>
      </c>
      <c r="D316" s="680">
        <f>SUMIF(Journal!$D$7:$D$2000,A316,Journal!$G$7:$G$2000)</f>
        <v>0</v>
      </c>
      <c r="E316" s="680">
        <f t="shared" si="4"/>
        <v>0</v>
      </c>
    </row>
    <row r="317" spans="1:5">
      <c r="A317" s="679">
        <f>Compte!A316</f>
        <v>44311</v>
      </c>
      <c r="B317" s="679" t="str">
        <f>Compte!B316</f>
        <v>T.V.A. facturée sur ventes à taux réduit</v>
      </c>
      <c r="C317" s="680">
        <f>SUMIF(Journal!$C$7:$C$2000,A317,Journal!$G$7:$G$2000)</f>
        <v>0</v>
      </c>
      <c r="D317" s="680">
        <f>SUMIF(Journal!$D$7:$D$2000,A317,Journal!$G$7:$G$2000)</f>
        <v>100010</v>
      </c>
      <c r="E317" s="680">
        <f t="shared" si="4"/>
        <v>-100010</v>
      </c>
    </row>
    <row r="318" spans="1:5">
      <c r="A318" s="679">
        <f>Compte!A317</f>
        <v>44312</v>
      </c>
      <c r="B318" s="679" t="str">
        <f>Compte!B317</f>
        <v>T.V.A. facturée sur ventes à taux normal</v>
      </c>
      <c r="C318" s="680">
        <f>SUMIF(Journal!$C$7:$C$2000,A318,Journal!$G$7:$G$2000)</f>
        <v>32</v>
      </c>
      <c r="D318" s="680">
        <f>SUMIF(Journal!$D$7:$D$2000,A318,Journal!$G$7:$G$2000)</f>
        <v>4760</v>
      </c>
      <c r="E318" s="680">
        <f t="shared" si="4"/>
        <v>-4728</v>
      </c>
    </row>
    <row r="319" spans="1:5">
      <c r="A319" s="679">
        <f>Compte!A318</f>
        <v>44313</v>
      </c>
      <c r="B319" s="679" t="str">
        <f>Compte!B318</f>
        <v>T.V.A. facturée sur ventes à  taux fort</v>
      </c>
      <c r="C319" s="680">
        <f>SUMIF(Journal!$C$7:$C$2000,A319,Journal!$G$7:$G$2000)</f>
        <v>0</v>
      </c>
      <c r="D319" s="680">
        <f>SUMIF(Journal!$D$7:$D$2000,A319,Journal!$G$7:$G$2000)</f>
        <v>0</v>
      </c>
      <c r="E319" s="680">
        <f t="shared" si="4"/>
        <v>0</v>
      </c>
    </row>
    <row r="320" spans="1:5">
      <c r="A320" s="679" t="str">
        <f>Compte!A319</f>
        <v>Tva services</v>
      </c>
      <c r="B320" s="679" t="str">
        <f>Compte!B319</f>
        <v>Tva services</v>
      </c>
      <c r="C320" s="680">
        <f>SUMIF(Journal!$C$7:$C$2000,A320,Journal!$G$7:$G$2000)</f>
        <v>0</v>
      </c>
      <c r="D320" s="680">
        <f>SUMIF(Journal!$D$7:$D$2000,A320,Journal!$G$7:$G$2000)</f>
        <v>0</v>
      </c>
      <c r="E320" s="680">
        <f t="shared" si="4"/>
        <v>0</v>
      </c>
    </row>
    <row r="321" spans="1:5">
      <c r="A321" s="679">
        <f>Compte!A320</f>
        <v>44321</v>
      </c>
      <c r="B321" s="679" t="str">
        <f>Compte!B320</f>
        <v>T.V.A. facturée sur services à taux réduit</v>
      </c>
      <c r="C321" s="680">
        <f>SUMIF(Journal!$C$7:$C$2000,A321,Journal!$G$7:$G$2000)</f>
        <v>0</v>
      </c>
      <c r="D321" s="680">
        <f>SUMIF(Journal!$D$7:$D$2000,A321,Journal!$G$7:$G$2000)</f>
        <v>0</v>
      </c>
      <c r="E321" s="680">
        <f t="shared" si="4"/>
        <v>0</v>
      </c>
    </row>
    <row r="322" spans="1:5">
      <c r="A322" s="679">
        <f>Compte!A321</f>
        <v>44322</v>
      </c>
      <c r="B322" s="679" t="str">
        <f>Compte!B321</f>
        <v>T.V.A. facturée sur services à taux normal</v>
      </c>
      <c r="C322" s="680">
        <f>SUMIF(Journal!$C$7:$C$2000,A322,Journal!$G$7:$G$2000)</f>
        <v>0</v>
      </c>
      <c r="D322" s="680">
        <f>SUMIF(Journal!$D$7:$D$2000,A322,Journal!$G$7:$G$2000)</f>
        <v>120</v>
      </c>
      <c r="E322" s="680">
        <f t="shared" si="4"/>
        <v>-120</v>
      </c>
    </row>
    <row r="323" spans="1:5">
      <c r="A323" s="679">
        <f>Compte!A322</f>
        <v>44323</v>
      </c>
      <c r="B323" s="679" t="str">
        <f>Compte!B322</f>
        <v>T.V.A. facturée sur services à taux fort</v>
      </c>
      <c r="C323" s="680">
        <f>SUMIF(Journal!$C$7:$C$2000,A323,Journal!$G$7:$G$2000)</f>
        <v>0</v>
      </c>
      <c r="D323" s="680">
        <f>SUMIF(Journal!$D$7:$D$2000,A323,Journal!$G$7:$G$2000)</f>
        <v>0</v>
      </c>
      <c r="E323" s="680">
        <f t="shared" si="4"/>
        <v>0</v>
      </c>
    </row>
    <row r="324" spans="1:5">
      <c r="A324" s="679" t="str">
        <f>Compte!A323</f>
        <v>Tva intra com</v>
      </c>
      <c r="B324" s="679">
        <f>Compte!B323</f>
        <v>0</v>
      </c>
      <c r="C324" s="680">
        <f>SUMIF(Journal!$C$7:$C$2000,A324,Journal!$G$7:$G$2000)</f>
        <v>0</v>
      </c>
      <c r="D324" s="680">
        <f>SUMIF(Journal!$D$7:$D$2000,A324,Journal!$G$7:$G$2000)</f>
        <v>0</v>
      </c>
      <c r="E324" s="680">
        <f t="shared" si="4"/>
        <v>0</v>
      </c>
    </row>
    <row r="325" spans="1:5">
      <c r="A325" s="679">
        <f>Compte!A324</f>
        <v>44331</v>
      </c>
      <c r="B325" s="679" t="str">
        <f>Compte!B324</f>
        <v>T.V.A. facturée sur vente intracommunautaireà taux réduit</v>
      </c>
      <c r="C325" s="680">
        <f>SUMIF(Journal!$C$7:$C$2000,A325,Journal!$G$7:$G$2000)</f>
        <v>0</v>
      </c>
      <c r="D325" s="680">
        <f>SUMIF(Journal!$D$7:$D$2000,A325,Journal!$G$7:$G$2000)</f>
        <v>0</v>
      </c>
      <c r="E325" s="680">
        <f t="shared" ref="E325:E347" si="5">C325-D325</f>
        <v>0</v>
      </c>
    </row>
    <row r="326" spans="1:5">
      <c r="A326" s="679">
        <f>Compte!A325</f>
        <v>44332</v>
      </c>
      <c r="B326" s="679" t="str">
        <f>Compte!B325</f>
        <v>T.V.A. facturée sur vente intracommunautaireà taux normal</v>
      </c>
      <c r="C326" s="680">
        <f>SUMIF(Journal!$C$7:$C$2000,A326,Journal!$G$7:$G$2000)</f>
        <v>0</v>
      </c>
      <c r="D326" s="680">
        <f>SUMIF(Journal!$D$7:$D$2000,A326,Journal!$G$7:$G$2000)</f>
        <v>0</v>
      </c>
      <c r="E326" s="680">
        <f t="shared" si="5"/>
        <v>0</v>
      </c>
    </row>
    <row r="327" spans="1:5">
      <c r="A327" s="679">
        <f>Compte!A326</f>
        <v>44333</v>
      </c>
      <c r="B327" s="679" t="str">
        <f>Compte!B326</f>
        <v>T.V.A. facturée sur vente intracommunautaireà taux fort</v>
      </c>
      <c r="C327" s="680">
        <f>SUMIF(Journal!$C$7:$C$2000,A327,Journal!$G$7:$G$2000)</f>
        <v>0</v>
      </c>
      <c r="D327" s="680">
        <f>SUMIF(Journal!$D$7:$D$2000,A327,Journal!$G$7:$G$2000)</f>
        <v>0</v>
      </c>
      <c r="E327" s="680">
        <f t="shared" si="5"/>
        <v>0</v>
      </c>
    </row>
    <row r="328" spans="1:5">
      <c r="A328" s="679" t="str">
        <f>Compte!A327</f>
        <v>Tva PSM</v>
      </c>
      <c r="B328" s="679" t="str">
        <f>Compte!B327</f>
        <v>Tva PSM</v>
      </c>
      <c r="C328" s="680">
        <f>SUMIF(Journal!$C$7:$C$2000,A328,Journal!$G$7:$G$2000)</f>
        <v>0</v>
      </c>
      <c r="D328" s="680">
        <f>SUMIF(Journal!$D$7:$D$2000,A328,Journal!$G$7:$G$2000)</f>
        <v>0</v>
      </c>
      <c r="E328" s="680">
        <f t="shared" si="5"/>
        <v>0</v>
      </c>
    </row>
    <row r="329" spans="1:5">
      <c r="A329" s="679">
        <f>Compte!A328</f>
        <v>44341</v>
      </c>
      <c r="B329" s="679" t="str">
        <f>Compte!B328</f>
        <v>T.V.A.  produit livrée à soi-même à taux réduit</v>
      </c>
      <c r="C329" s="680">
        <f>SUMIF(Journal!$C$7:$C$2000,A329,Journal!$G$7:$G$2000)</f>
        <v>0</v>
      </c>
      <c r="D329" s="680">
        <f>SUMIF(Journal!$D$7:$D$2000,A329,Journal!$G$7:$G$2000)</f>
        <v>0</v>
      </c>
      <c r="E329" s="680">
        <f t="shared" si="5"/>
        <v>0</v>
      </c>
    </row>
    <row r="330" spans="1:5">
      <c r="A330" s="679">
        <f>Compte!A329</f>
        <v>44342</v>
      </c>
      <c r="B330" s="679" t="str">
        <f>Compte!B329</f>
        <v>T.V.A.  produit livrée à soi-même à taux normal</v>
      </c>
      <c r="C330" s="680">
        <f>SUMIF(Journal!$C$7:$C$2000,A330,Journal!$G$7:$G$2000)</f>
        <v>0</v>
      </c>
      <c r="D330" s="680">
        <f>SUMIF(Journal!$D$7:$D$2000,A330,Journal!$G$7:$G$2000)</f>
        <v>0</v>
      </c>
      <c r="E330" s="680">
        <f t="shared" si="5"/>
        <v>0</v>
      </c>
    </row>
    <row r="331" spans="1:5">
      <c r="A331" s="679">
        <f>Compte!A330</f>
        <v>44343</v>
      </c>
      <c r="B331" s="679" t="str">
        <f>Compte!B330</f>
        <v>T.V.A.  produit livrée à soi-même à taux fort</v>
      </c>
      <c r="C331" s="680">
        <f>SUMIF(Journal!$C$7:$C$2000,A331,Journal!$G$7:$G$2000)</f>
        <v>0</v>
      </c>
      <c r="D331" s="680">
        <f>SUMIF(Journal!$D$7:$D$2000,A331,Journal!$G$7:$G$2000)</f>
        <v>0</v>
      </c>
      <c r="E331" s="680">
        <f t="shared" si="5"/>
        <v>0</v>
      </c>
    </row>
    <row r="332" spans="1:5">
      <c r="A332" s="679" t="str">
        <f>Compte!A331</f>
        <v>Tva récup imob</v>
      </c>
      <c r="B332" s="679" t="str">
        <f>Compte!B331</f>
        <v>Tva récup imob</v>
      </c>
      <c r="C332" s="680">
        <f>SUMIF(Journal!$C$7:$C$2000,A332,Journal!$G$7:$G$2000)</f>
        <v>0</v>
      </c>
      <c r="D332" s="680">
        <f>SUMIF(Journal!$D$7:$D$2000,A332,Journal!$G$7:$G$2000)</f>
        <v>0</v>
      </c>
      <c r="E332" s="680">
        <f t="shared" si="5"/>
        <v>0</v>
      </c>
    </row>
    <row r="333" spans="1:5">
      <c r="A333" s="679">
        <f>Compte!A332</f>
        <v>44511</v>
      </c>
      <c r="B333" s="679" t="str">
        <f>Compte!B332</f>
        <v>T.V.A. récupérable sur immobilisations à taux réduit</v>
      </c>
      <c r="C333" s="680">
        <f>SUMIF(Journal!$C$7:$C$2000,A333,Journal!$G$7:$G$2000)</f>
        <v>0</v>
      </c>
      <c r="D333" s="680">
        <f>SUMIF(Journal!$D$7:$D$2000,A333,Journal!$G$7:$G$2000)</f>
        <v>0</v>
      </c>
      <c r="E333" s="680">
        <f t="shared" si="5"/>
        <v>0</v>
      </c>
    </row>
    <row r="334" spans="1:5">
      <c r="A334" s="679">
        <f>Compte!A333</f>
        <v>44512</v>
      </c>
      <c r="B334" s="679" t="str">
        <f>Compte!B333</f>
        <v>T.V.A. récupérable sur immobilisations à taux normal</v>
      </c>
      <c r="C334" s="680">
        <f>SUMIF(Journal!$C$7:$C$2000,A334,Journal!$G$7:$G$2000)</f>
        <v>48200</v>
      </c>
      <c r="D334" s="680">
        <f>SUMIF(Journal!$D$7:$D$2000,A334,Journal!$G$7:$G$2000)</f>
        <v>0</v>
      </c>
      <c r="E334" s="680">
        <f t="shared" si="5"/>
        <v>48200</v>
      </c>
    </row>
    <row r="335" spans="1:5">
      <c r="A335" s="679">
        <f>Compte!A334</f>
        <v>44513</v>
      </c>
      <c r="B335" s="679" t="str">
        <f>Compte!B334</f>
        <v>T.V.A. récupérable sur immobilisations à taux fort</v>
      </c>
      <c r="C335" s="680">
        <f>SUMIF(Journal!$C$7:$C$2000,A335,Journal!$G$7:$G$2000)</f>
        <v>0</v>
      </c>
      <c r="D335" s="680">
        <f>SUMIF(Journal!$D$7:$D$2000,A335,Journal!$G$7:$G$2000)</f>
        <v>0</v>
      </c>
      <c r="E335" s="680">
        <f t="shared" si="5"/>
        <v>0</v>
      </c>
    </row>
    <row r="336" spans="1:5">
      <c r="A336" s="679" t="str">
        <f>Compte!A335</f>
        <v>Tva récup intracom</v>
      </c>
      <c r="B336" s="679" t="str">
        <f>Compte!B335</f>
        <v>Tva récup intracom</v>
      </c>
      <c r="C336" s="680">
        <f>SUMIF(Journal!$C$7:$C$2000,A336,Journal!$G$7:$G$2000)</f>
        <v>0</v>
      </c>
      <c r="D336" s="680">
        <f>SUMIF(Journal!$D$7:$D$2000,A336,Journal!$G$7:$G$2000)</f>
        <v>0</v>
      </c>
      <c r="E336" s="680">
        <f t="shared" si="5"/>
        <v>0</v>
      </c>
    </row>
    <row r="337" spans="1:5">
      <c r="A337" s="679">
        <f>Compte!A336</f>
        <v>44531</v>
      </c>
      <c r="B337" s="679" t="str">
        <f>Compte!B336</f>
        <v>T.V.A. récupérable intracommunautaire a taux réduit</v>
      </c>
      <c r="C337" s="680">
        <f>SUMIF(Journal!$C$7:$C$2000,A337,Journal!$G$7:$G$2000)</f>
        <v>0</v>
      </c>
      <c r="D337" s="680">
        <f>SUMIF(Journal!$D$7:$D$2000,A337,Journal!$G$7:$G$2000)</f>
        <v>0</v>
      </c>
      <c r="E337" s="680">
        <f t="shared" si="5"/>
        <v>0</v>
      </c>
    </row>
    <row r="338" spans="1:5">
      <c r="A338" s="679">
        <f>Compte!A337</f>
        <v>44532</v>
      </c>
      <c r="B338" s="679" t="str">
        <f>Compte!B337</f>
        <v>T.V.A. récupérable intracommunautaire a taux normal</v>
      </c>
      <c r="C338" s="680">
        <f>SUMIF(Journal!$C$7:$C$2000,A338,Journal!$G$7:$G$2000)</f>
        <v>300</v>
      </c>
      <c r="D338" s="680">
        <f>SUMIF(Journal!$D$7:$D$2000,A338,Journal!$G$7:$G$2000)</f>
        <v>0</v>
      </c>
      <c r="E338" s="680">
        <f t="shared" si="5"/>
        <v>300</v>
      </c>
    </row>
    <row r="339" spans="1:5">
      <c r="A339" s="679">
        <f>Compte!A338</f>
        <v>44533</v>
      </c>
      <c r="B339" s="679" t="str">
        <f>Compte!B338</f>
        <v>T.V.A. récupérable intracommunautaire a taux fort</v>
      </c>
      <c r="C339" s="680">
        <f>SUMIF(Journal!$C$7:$C$2000,A339,Journal!$G$7:$G$2000)</f>
        <v>0</v>
      </c>
      <c r="D339" s="680">
        <f>SUMIF(Journal!$D$7:$D$2000,A339,Journal!$G$7:$G$2000)</f>
        <v>0</v>
      </c>
      <c r="E339" s="680">
        <f t="shared" si="5"/>
        <v>0</v>
      </c>
    </row>
    <row r="340" spans="1:5">
      <c r="A340" s="679" t="str">
        <f>Compte!A339</f>
        <v>Tva récup achat</v>
      </c>
      <c r="B340" s="679" t="str">
        <f>Compte!B339</f>
        <v>Tva récup achat</v>
      </c>
      <c r="C340" s="680">
        <f>SUMIF(Journal!$C$7:$C$2000,A340,Journal!$G$7:$G$2000)</f>
        <v>0</v>
      </c>
      <c r="D340" s="680">
        <f>SUMIF(Journal!$D$7:$D$2000,A340,Journal!$G$7:$G$2000)</f>
        <v>0</v>
      </c>
      <c r="E340" s="680">
        <f t="shared" si="5"/>
        <v>0</v>
      </c>
    </row>
    <row r="341" spans="1:5">
      <c r="A341" s="679">
        <f>Compte!A340</f>
        <v>44521</v>
      </c>
      <c r="B341" s="679" t="str">
        <f>Compte!B340</f>
        <v>T.V.A. récupérable sur achats a taux réduit</v>
      </c>
      <c r="C341" s="680">
        <f>SUMIF(Journal!$C$7:$C$2000,A341,Journal!$G$7:$G$2000)</f>
        <v>200</v>
      </c>
      <c r="D341" s="680">
        <f>SUMIF(Journal!$D$7:$D$2000,A341,Journal!$G$7:$G$2000)</f>
        <v>0</v>
      </c>
      <c r="E341" s="680">
        <f t="shared" si="5"/>
        <v>200</v>
      </c>
    </row>
    <row r="342" spans="1:5">
      <c r="A342" s="679">
        <f>Compte!A341</f>
        <v>44522</v>
      </c>
      <c r="B342" s="679" t="str">
        <f>Compte!B341</f>
        <v>T.V.A. récupérable sur achats a taux normal</v>
      </c>
      <c r="C342" s="680">
        <f>SUMIF(Journal!$C$7:$C$2000,A342,Journal!$G$7:$G$2000)</f>
        <v>6830</v>
      </c>
      <c r="D342" s="680">
        <f>SUMIF(Journal!$D$7:$D$2000,A342,Journal!$G$7:$G$2000)</f>
        <v>0</v>
      </c>
      <c r="E342" s="680">
        <f t="shared" si="5"/>
        <v>6830</v>
      </c>
    </row>
    <row r="343" spans="1:5">
      <c r="A343" s="679">
        <f>Compte!A342</f>
        <v>44523</v>
      </c>
      <c r="B343" s="679" t="str">
        <f>Compte!B342</f>
        <v>T.V.A. récupérable sur achats a taux fort</v>
      </c>
      <c r="C343" s="680">
        <f>SUMIF(Journal!$C$7:$C$2000,A343,Journal!$G$7:$G$2000)</f>
        <v>0</v>
      </c>
      <c r="D343" s="680">
        <f>SUMIF(Journal!$D$7:$D$2000,A343,Journal!$G$7:$G$2000)</f>
        <v>0</v>
      </c>
      <c r="E343" s="680">
        <f t="shared" si="5"/>
        <v>0</v>
      </c>
    </row>
    <row r="344" spans="1:5">
      <c r="A344" s="679">
        <f>Compte!A343</f>
        <v>4449</v>
      </c>
      <c r="B344" s="679" t="str">
        <f>Compte!B343</f>
        <v>État, crédit de T.V.A. à reporter</v>
      </c>
      <c r="C344" s="680">
        <f>SUMIF(Journal!$C$7:$C$2000,A344,Journal!$G$7:$G$2000)</f>
        <v>0</v>
      </c>
      <c r="D344" s="680">
        <f>SUMIF(Journal!$D$7:$D$2000,A344,Journal!$G$7:$G$2000)</f>
        <v>0</v>
      </c>
      <c r="E344" s="680">
        <f t="shared" si="5"/>
        <v>0</v>
      </c>
    </row>
    <row r="345" spans="1:5">
      <c r="A345" s="679">
        <f>Compte!A344</f>
        <v>4441</v>
      </c>
      <c r="B345" s="679" t="str">
        <f>Compte!B344</f>
        <v>État, T.V.A. due</v>
      </c>
      <c r="C345" s="680">
        <f>SUMIF(Journal!$C$7:$C$2000,A345,Journal!$G$7:$G$2000)</f>
        <v>0</v>
      </c>
      <c r="D345" s="680">
        <f>SUMIF(Journal!$D$7:$D$2000,A345,Journal!$G$7:$G$2000)</f>
        <v>0</v>
      </c>
      <c r="E345" s="680">
        <f t="shared" si="5"/>
        <v>0</v>
      </c>
    </row>
    <row r="346" spans="1:5">
      <c r="A346" s="679">
        <f>Compte!A345</f>
        <v>8600</v>
      </c>
      <c r="B346" s="679" t="str">
        <f>Compte!B345</f>
        <v>résultat avant impôt</v>
      </c>
      <c r="C346" s="680">
        <f>SUMIF(Journal!$C$7:$C$2000,A346,Journal!$G$7:$G$2000)</f>
        <v>0</v>
      </c>
      <c r="D346" s="680">
        <f>SUMIF(Journal!$D$7:$D$2000,A346,Journal!$G$7:$G$2000)</f>
        <v>0</v>
      </c>
      <c r="E346" s="680">
        <f t="shared" si="5"/>
        <v>0</v>
      </c>
    </row>
    <row r="347" spans="1:5" ht="15.75" thickBot="1">
      <c r="A347" s="679">
        <f>Compte!A346</f>
        <v>4424</v>
      </c>
      <c r="B347" s="679" t="str">
        <f>Compte!B346</f>
        <v>Impôts et taxes dividendes et intérêts des associés</v>
      </c>
      <c r="C347" s="680">
        <f>SUMIF(Journal!$C$7:$C$2000,A347,Journal!$G$7:$G$2000)</f>
        <v>0</v>
      </c>
      <c r="D347" s="680">
        <f>SUMIF(Journal!$D$7:$D$2000,A347,Journal!$G$7:$G$2000)</f>
        <v>0</v>
      </c>
      <c r="E347" s="680">
        <f t="shared" si="5"/>
        <v>0</v>
      </c>
    </row>
    <row r="348" spans="1:5" ht="15.75" thickBot="1">
      <c r="A348" s="1215"/>
      <c r="B348" s="1216" t="s">
        <v>1600</v>
      </c>
      <c r="C348" s="1216">
        <f>SUM(C4:C347)</f>
        <v>5195222</v>
      </c>
      <c r="D348" s="1216">
        <f>SUM(D4:D347)</f>
        <v>5129422</v>
      </c>
      <c r="E348" s="1217">
        <f>D348-C348</f>
        <v>-65800</v>
      </c>
    </row>
    <row r="351" spans="1:5" ht="15.75" thickBot="1"/>
    <row r="352" spans="1:5" ht="15.75" thickBot="1">
      <c r="A352" s="681"/>
      <c r="B352" s="682" t="s">
        <v>771</v>
      </c>
      <c r="C352" s="682" t="s">
        <v>772</v>
      </c>
      <c r="D352" s="682" t="s">
        <v>773</v>
      </c>
      <c r="E352" s="683" t="s">
        <v>774</v>
      </c>
    </row>
    <row r="353" spans="1:5">
      <c r="A353" s="684">
        <f>A317</f>
        <v>44311</v>
      </c>
      <c r="B353" s="684" t="str">
        <f>Compte!B316</f>
        <v>T.V.A. facturée sur ventes à taux réduit</v>
      </c>
      <c r="C353" s="685">
        <f>-E317</f>
        <v>100010</v>
      </c>
      <c r="D353" s="686">
        <f>Compte!C316</f>
        <v>0.05</v>
      </c>
      <c r="E353" s="684">
        <f>C353</f>
        <v>100010</v>
      </c>
    </row>
    <row r="354" spans="1:5">
      <c r="A354" s="684">
        <f>A318</f>
        <v>44312</v>
      </c>
      <c r="B354" s="684" t="str">
        <f>Compte!B317</f>
        <v>T.V.A. facturée sur ventes à taux normal</v>
      </c>
      <c r="C354" s="685">
        <f>-E318</f>
        <v>4728</v>
      </c>
      <c r="D354" s="686">
        <f>Compte!C317</f>
        <v>0.185</v>
      </c>
      <c r="E354" s="684">
        <f t="shared" ref="E354:E355" si="6">C354</f>
        <v>4728</v>
      </c>
    </row>
    <row r="355" spans="1:5">
      <c r="A355" s="684">
        <f>A319</f>
        <v>44313</v>
      </c>
      <c r="B355" s="684" t="str">
        <f>Compte!B318</f>
        <v>T.V.A. facturée sur ventes à  taux fort</v>
      </c>
      <c r="C355" s="685">
        <f t="shared" ref="C355" si="7">-E319</f>
        <v>0</v>
      </c>
      <c r="D355" s="686">
        <f>Compte!C318</f>
        <v>0.21</v>
      </c>
      <c r="E355" s="684">
        <f t="shared" si="6"/>
        <v>0</v>
      </c>
    </row>
    <row r="356" spans="1:5" s="688" customFormat="1">
      <c r="A356" s="684" t="s">
        <v>43</v>
      </c>
      <c r="B356" s="684"/>
      <c r="C356" s="684"/>
      <c r="D356" s="684"/>
      <c r="E356" s="687">
        <f>SUM(E353:E355)</f>
        <v>104738</v>
      </c>
    </row>
    <row r="357" spans="1:5">
      <c r="A357" s="684">
        <f>A321</f>
        <v>44321</v>
      </c>
      <c r="B357" s="684" t="str">
        <f>Compte!B320</f>
        <v>T.V.A. facturée sur services à taux réduit</v>
      </c>
      <c r="C357" s="685">
        <f>-E321</f>
        <v>0</v>
      </c>
      <c r="D357" s="689">
        <f>Compte!C320</f>
        <v>0.05</v>
      </c>
      <c r="E357" s="684">
        <f>C357</f>
        <v>0</v>
      </c>
    </row>
    <row r="358" spans="1:5">
      <c r="A358" s="684">
        <f>A322</f>
        <v>44322</v>
      </c>
      <c r="B358" s="684" t="str">
        <f>Compte!B321</f>
        <v>T.V.A. facturée sur services à taux normal</v>
      </c>
      <c r="C358" s="685">
        <f>-E322</f>
        <v>120</v>
      </c>
      <c r="D358" s="689">
        <f>Compte!C321</f>
        <v>0.185</v>
      </c>
      <c r="E358" s="684">
        <f t="shared" ref="E358:E359" si="8">C358</f>
        <v>120</v>
      </c>
    </row>
    <row r="359" spans="1:5">
      <c r="A359" s="684">
        <f>A323</f>
        <v>44323</v>
      </c>
      <c r="B359" s="684" t="str">
        <f>Compte!B322</f>
        <v>T.V.A. facturée sur services à taux fort</v>
      </c>
      <c r="C359" s="685">
        <f t="shared" ref="C359" si="9">-E323</f>
        <v>0</v>
      </c>
      <c r="D359" s="689">
        <f>Compte!C322</f>
        <v>0.21</v>
      </c>
      <c r="E359" s="684">
        <f t="shared" si="8"/>
        <v>0</v>
      </c>
    </row>
    <row r="360" spans="1:5">
      <c r="A360" s="684" t="s">
        <v>43</v>
      </c>
      <c r="B360" s="684"/>
      <c r="C360" s="684"/>
      <c r="D360" s="684">
        <f>Compte!D323</f>
        <v>0</v>
      </c>
      <c r="E360" s="687">
        <f>SUM(E357:E359)</f>
        <v>120</v>
      </c>
    </row>
    <row r="361" spans="1:5">
      <c r="A361" s="684">
        <f>A325</f>
        <v>44331</v>
      </c>
      <c r="B361" s="684" t="str">
        <f>Compte!B324</f>
        <v>T.V.A. facturée sur vente intracommunautaireà taux réduit</v>
      </c>
      <c r="C361" s="685">
        <f>-E325</f>
        <v>0</v>
      </c>
      <c r="D361" s="689">
        <f>Compte!C324</f>
        <v>0.05</v>
      </c>
      <c r="E361" s="684">
        <f>C361</f>
        <v>0</v>
      </c>
    </row>
    <row r="362" spans="1:5">
      <c r="A362" s="684">
        <f>A326</f>
        <v>44332</v>
      </c>
      <c r="B362" s="684" t="str">
        <f>Compte!B325</f>
        <v>T.V.A. facturée sur vente intracommunautaireà taux normal</v>
      </c>
      <c r="C362" s="685">
        <f t="shared" ref="C362:C363" si="10">-E326</f>
        <v>0</v>
      </c>
      <c r="D362" s="689">
        <f>Compte!C325</f>
        <v>0.185</v>
      </c>
      <c r="E362" s="684">
        <f t="shared" ref="E362:E363" si="11">C362</f>
        <v>0</v>
      </c>
    </row>
    <row r="363" spans="1:5">
      <c r="A363" s="684">
        <f>A327</f>
        <v>44333</v>
      </c>
      <c r="B363" s="684" t="str">
        <f>Compte!B326</f>
        <v>T.V.A. facturée sur vente intracommunautaireà taux fort</v>
      </c>
      <c r="C363" s="685">
        <f t="shared" si="10"/>
        <v>0</v>
      </c>
      <c r="D363" s="689">
        <f>Compte!C326</f>
        <v>0.21</v>
      </c>
      <c r="E363" s="684">
        <f t="shared" si="11"/>
        <v>0</v>
      </c>
    </row>
    <row r="364" spans="1:5">
      <c r="A364" s="684" t="s">
        <v>43</v>
      </c>
      <c r="B364" s="684"/>
      <c r="C364" s="684"/>
      <c r="D364" s="684"/>
      <c r="E364" s="687">
        <f>SUM(E361:E363)</f>
        <v>0</v>
      </c>
    </row>
    <row r="365" spans="1:5">
      <c r="A365" s="684">
        <f>A329</f>
        <v>44341</v>
      </c>
      <c r="B365" s="684" t="str">
        <f>Compte!B328</f>
        <v>T.V.A.  produit livrée à soi-même à taux réduit</v>
      </c>
      <c r="C365" s="685">
        <f>-E329</f>
        <v>0</v>
      </c>
      <c r="D365" s="689">
        <f>Compte!C328</f>
        <v>0.05</v>
      </c>
      <c r="E365" s="684">
        <f>C365</f>
        <v>0</v>
      </c>
    </row>
    <row r="366" spans="1:5">
      <c r="A366" s="684">
        <f>A330</f>
        <v>44342</v>
      </c>
      <c r="B366" s="684" t="str">
        <f>Compte!B329</f>
        <v>T.V.A.  produit livrée à soi-même à taux normal</v>
      </c>
      <c r="C366" s="685">
        <f t="shared" ref="C366:C367" si="12">-E330</f>
        <v>0</v>
      </c>
      <c r="D366" s="689">
        <f>Compte!C329</f>
        <v>0.185</v>
      </c>
      <c r="E366" s="684">
        <f t="shared" ref="E366:E367" si="13">C366</f>
        <v>0</v>
      </c>
    </row>
    <row r="367" spans="1:5">
      <c r="A367" s="684">
        <f>A331</f>
        <v>44343</v>
      </c>
      <c r="B367" s="684" t="str">
        <f>Compte!B330</f>
        <v>T.V.A.  produit livrée à soi-même à taux fort</v>
      </c>
      <c r="C367" s="685">
        <f t="shared" si="12"/>
        <v>0</v>
      </c>
      <c r="D367" s="689">
        <f>Compte!C330</f>
        <v>0.21</v>
      </c>
      <c r="E367" s="684">
        <f t="shared" si="13"/>
        <v>0</v>
      </c>
    </row>
    <row r="368" spans="1:5">
      <c r="A368" s="684" t="s">
        <v>43</v>
      </c>
      <c r="C368" s="684"/>
      <c r="D368" s="689"/>
      <c r="E368" s="687">
        <f>SUM(E365:E367)</f>
        <v>0</v>
      </c>
    </row>
    <row r="369" spans="1:5">
      <c r="A369" s="684">
        <f t="shared" ref="A369:A371" si="14">A333</f>
        <v>44511</v>
      </c>
      <c r="B369" s="684" t="str">
        <f>Compte!B332</f>
        <v>T.V.A. récupérable sur immobilisations à taux réduit</v>
      </c>
      <c r="C369" s="685">
        <f>E333</f>
        <v>0</v>
      </c>
      <c r="D369" s="689">
        <f>Compte!C332</f>
        <v>0.05</v>
      </c>
      <c r="E369" s="684">
        <f t="shared" ref="E369:E371" si="15">C369</f>
        <v>0</v>
      </c>
    </row>
    <row r="370" spans="1:5">
      <c r="A370" s="684">
        <f t="shared" si="14"/>
        <v>44512</v>
      </c>
      <c r="B370" s="684" t="str">
        <f>Compte!B333</f>
        <v>T.V.A. récupérable sur immobilisations à taux normal</v>
      </c>
      <c r="C370" s="685">
        <f t="shared" ref="C370:C371" si="16">E334</f>
        <v>48200</v>
      </c>
      <c r="D370" s="689">
        <f>Compte!C333</f>
        <v>0.185</v>
      </c>
      <c r="E370" s="684">
        <f t="shared" si="15"/>
        <v>48200</v>
      </c>
    </row>
    <row r="371" spans="1:5">
      <c r="A371" s="684">
        <f t="shared" si="14"/>
        <v>44513</v>
      </c>
      <c r="B371" s="684" t="str">
        <f>Compte!B334</f>
        <v>T.V.A. récupérable sur immobilisations à taux fort</v>
      </c>
      <c r="C371" s="685">
        <f t="shared" si="16"/>
        <v>0</v>
      </c>
      <c r="D371" s="689">
        <f>Compte!C334</f>
        <v>0.21</v>
      </c>
      <c r="E371" s="684">
        <f t="shared" si="15"/>
        <v>0</v>
      </c>
    </row>
    <row r="372" spans="1:5">
      <c r="A372" s="684" t="s">
        <v>43</v>
      </c>
      <c r="B372" s="684"/>
      <c r="C372" s="684"/>
      <c r="D372" s="690"/>
      <c r="E372" s="687">
        <f>SUM(E369:E371)</f>
        <v>48200</v>
      </c>
    </row>
    <row r="373" spans="1:5">
      <c r="A373" s="684">
        <f>A337</f>
        <v>44531</v>
      </c>
      <c r="B373" s="684" t="str">
        <f>Compte!B336</f>
        <v>T.V.A. récupérable intracommunautaire a taux réduit</v>
      </c>
      <c r="C373" s="685">
        <f>E337</f>
        <v>0</v>
      </c>
      <c r="D373" s="689">
        <f>Compte!C336</f>
        <v>0.05</v>
      </c>
      <c r="E373" s="684">
        <f t="shared" ref="E373:E379" si="17">C373</f>
        <v>0</v>
      </c>
    </row>
    <row r="374" spans="1:5">
      <c r="A374" s="684">
        <f t="shared" ref="A374:A375" si="18">A338</f>
        <v>44532</v>
      </c>
      <c r="B374" s="684" t="str">
        <f>Compte!B337</f>
        <v>T.V.A. récupérable intracommunautaire a taux normal</v>
      </c>
      <c r="C374" s="685">
        <f t="shared" ref="C374:C375" si="19">E338</f>
        <v>300</v>
      </c>
      <c r="D374" s="689">
        <f>Compte!C337</f>
        <v>0.185</v>
      </c>
      <c r="E374" s="684">
        <f t="shared" si="17"/>
        <v>300</v>
      </c>
    </row>
    <row r="375" spans="1:5">
      <c r="A375" s="684">
        <f t="shared" si="18"/>
        <v>44533</v>
      </c>
      <c r="B375" s="684" t="str">
        <f>Compte!B338</f>
        <v>T.V.A. récupérable intracommunautaire a taux fort</v>
      </c>
      <c r="C375" s="685">
        <f t="shared" si="19"/>
        <v>0</v>
      </c>
      <c r="D375" s="689">
        <f>Compte!C338</f>
        <v>0.21</v>
      </c>
      <c r="E375" s="684">
        <f t="shared" si="17"/>
        <v>0</v>
      </c>
    </row>
    <row r="376" spans="1:5">
      <c r="A376" s="684" t="s">
        <v>43</v>
      </c>
      <c r="B376" s="684"/>
      <c r="C376" s="684"/>
      <c r="D376" s="684"/>
      <c r="E376" s="687">
        <f>SUM(E373:E375)</f>
        <v>300</v>
      </c>
    </row>
    <row r="377" spans="1:5">
      <c r="A377" s="684">
        <f>A341</f>
        <v>44521</v>
      </c>
      <c r="B377" s="684" t="str">
        <f>Compte!B340</f>
        <v>T.V.A. récupérable sur achats a taux réduit</v>
      </c>
      <c r="C377" s="685">
        <f>E341</f>
        <v>200</v>
      </c>
      <c r="D377" s="691">
        <f>Compte!C340</f>
        <v>0.05</v>
      </c>
      <c r="E377" s="684">
        <f t="shared" si="17"/>
        <v>200</v>
      </c>
    </row>
    <row r="378" spans="1:5">
      <c r="A378" s="684">
        <f t="shared" ref="A378:A379" si="20">A342</f>
        <v>44522</v>
      </c>
      <c r="B378" s="684" t="str">
        <f>Compte!B341</f>
        <v>T.V.A. récupérable sur achats a taux normal</v>
      </c>
      <c r="C378" s="685">
        <f t="shared" ref="C378:C379" si="21">E342</f>
        <v>6830</v>
      </c>
      <c r="D378" s="691">
        <f>Compte!C341</f>
        <v>0.185</v>
      </c>
      <c r="E378" s="684">
        <f t="shared" si="17"/>
        <v>6830</v>
      </c>
    </row>
    <row r="379" spans="1:5">
      <c r="A379" s="684">
        <f t="shared" si="20"/>
        <v>44523</v>
      </c>
      <c r="B379" s="684" t="str">
        <f>Compte!B342</f>
        <v>T.V.A. récupérable sur achats a taux fort</v>
      </c>
      <c r="C379" s="685">
        <f t="shared" si="21"/>
        <v>0</v>
      </c>
      <c r="D379" s="691">
        <f>Compte!C342</f>
        <v>0.21</v>
      </c>
      <c r="E379" s="684">
        <f t="shared" si="17"/>
        <v>0</v>
      </c>
    </row>
    <row r="380" spans="1:5">
      <c r="A380" s="684" t="s">
        <v>43</v>
      </c>
      <c r="B380" s="684"/>
      <c r="C380" s="685"/>
      <c r="D380" s="689"/>
      <c r="E380" s="687">
        <f>SUM(E377:E379)</f>
        <v>7030</v>
      </c>
    </row>
    <row r="381" spans="1:5">
      <c r="A381" s="684">
        <f>A175</f>
        <v>6730</v>
      </c>
      <c r="B381" s="684" t="str">
        <f>B175</f>
        <v>Escomptes accordés à taux réduit</v>
      </c>
      <c r="C381" s="685">
        <f>E175</f>
        <v>0</v>
      </c>
      <c r="D381" s="689">
        <f>D377</f>
        <v>0.05</v>
      </c>
      <c r="E381" s="684">
        <f>C381*(D381)/(1+D381)</f>
        <v>0</v>
      </c>
    </row>
    <row r="382" spans="1:5">
      <c r="A382" s="684">
        <f t="shared" ref="A382:B382" si="22">A176</f>
        <v>6731</v>
      </c>
      <c r="B382" s="684" t="str">
        <f t="shared" si="22"/>
        <v>Escomptes accordés à taux normal</v>
      </c>
      <c r="C382" s="685">
        <f t="shared" ref="C382:C383" si="23">E176</f>
        <v>55</v>
      </c>
      <c r="D382" s="689">
        <f t="shared" ref="D382:D383" si="24">D378</f>
        <v>0.185</v>
      </c>
      <c r="E382" s="684">
        <f t="shared" ref="E382:E383" si="25">C382*(D382)/(1+D382)</f>
        <v>8.5864978902953588</v>
      </c>
    </row>
    <row r="383" spans="1:5">
      <c r="A383" s="684">
        <f t="shared" ref="A383:B383" si="26">A177</f>
        <v>6732</v>
      </c>
      <c r="B383" s="684" t="str">
        <f t="shared" si="26"/>
        <v>Escomptes accordés à taux fort</v>
      </c>
      <c r="C383" s="685">
        <f t="shared" si="23"/>
        <v>0</v>
      </c>
      <c r="D383" s="689">
        <f t="shared" si="24"/>
        <v>0.21</v>
      </c>
      <c r="E383" s="684">
        <f t="shared" si="25"/>
        <v>0</v>
      </c>
    </row>
    <row r="384" spans="1:5">
      <c r="A384" s="684" t="s">
        <v>43</v>
      </c>
      <c r="B384" s="684"/>
      <c r="C384" s="685"/>
      <c r="D384" s="689"/>
      <c r="E384" s="687">
        <f>SUM(E381:E383)</f>
        <v>8.5864978902953588</v>
      </c>
    </row>
    <row r="385" spans="1:5">
      <c r="A385" s="684">
        <f>A344</f>
        <v>4449</v>
      </c>
      <c r="B385" s="684" t="str">
        <f>B344</f>
        <v>État, crédit de T.V.A. à reporter</v>
      </c>
      <c r="C385" s="685">
        <f>E345</f>
        <v>0</v>
      </c>
      <c r="D385" s="689"/>
      <c r="E385" s="692">
        <f>C385*D385/(1+D385)</f>
        <v>0</v>
      </c>
    </row>
    <row r="386" spans="1:5">
      <c r="A386" s="684">
        <f>A345</f>
        <v>4441</v>
      </c>
      <c r="B386" s="684" t="str">
        <f>B345</f>
        <v>État, T.V.A. due</v>
      </c>
      <c r="C386" s="685">
        <f>-E346</f>
        <v>0</v>
      </c>
      <c r="D386" s="689"/>
      <c r="E386" s="692">
        <f>C386*D386/(1+D386)</f>
        <v>0</v>
      </c>
    </row>
  </sheetData>
  <sheetProtection password="F1F8" sheet="1" objects="1" scenarios="1"/>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sheetPr codeName="Feuil6"/>
  <dimension ref="A1:AMJ182"/>
  <sheetViews>
    <sheetView workbookViewId="0">
      <pane ySplit="3" topLeftCell="A4" activePane="bottomLeft" state="frozen"/>
      <selection pane="bottomLeft" activeCell="E2" sqref="E2"/>
    </sheetView>
  </sheetViews>
  <sheetFormatPr baseColWidth="10" defaultRowHeight="14.1" customHeight="1"/>
  <cols>
    <col min="1" max="1" width="6" style="887" customWidth="1"/>
    <col min="2" max="2" width="29.42578125" style="887" customWidth="1"/>
    <col min="3" max="3" width="15.85546875" style="887" customWidth="1"/>
    <col min="4" max="4" width="15.140625" style="887" customWidth="1"/>
    <col min="5" max="5" width="15.42578125" style="887" customWidth="1"/>
    <col min="6" max="6" width="7.42578125" style="887" customWidth="1"/>
    <col min="7" max="7" width="34.140625" style="887" customWidth="1"/>
    <col min="8" max="8" width="15.42578125" style="887" customWidth="1"/>
    <col min="9" max="1024" width="12.28515625" style="887" customWidth="1"/>
    <col min="1025" max="16384" width="11.42578125" style="1390"/>
  </cols>
  <sheetData>
    <row r="1" spans="1:1024" ht="14.1" customHeight="1">
      <c r="A1" s="1660" t="s">
        <v>749</v>
      </c>
      <c r="B1" s="1660"/>
      <c r="C1" s="1660"/>
      <c r="D1" s="1660"/>
      <c r="E1" s="1660"/>
      <c r="F1" s="1660"/>
      <c r="G1" s="1660"/>
      <c r="H1" s="1660"/>
    </row>
    <row r="2" spans="1:1024" s="1524" customFormat="1" ht="14.25" customHeight="1">
      <c r="A2" s="1525"/>
      <c r="B2" s="1525"/>
      <c r="C2" s="1525"/>
      <c r="D2" s="1525"/>
      <c r="E2" s="1525"/>
      <c r="F2" s="1525"/>
      <c r="G2" s="1525"/>
      <c r="H2" s="1525"/>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c r="BD2" s="1451"/>
      <c r="BE2" s="1451"/>
      <c r="BF2" s="1451"/>
      <c r="BG2" s="1451"/>
      <c r="BH2" s="1451"/>
      <c r="BI2" s="1451"/>
      <c r="BJ2" s="1451"/>
      <c r="BK2" s="1451"/>
      <c r="BL2" s="1451"/>
      <c r="BM2" s="1451"/>
      <c r="BN2" s="1451"/>
      <c r="BO2" s="1451"/>
      <c r="BP2" s="1451"/>
      <c r="BQ2" s="1451"/>
      <c r="BR2" s="1451"/>
      <c r="BS2" s="1451"/>
      <c r="BT2" s="1451"/>
      <c r="BU2" s="1451"/>
      <c r="BV2" s="1451"/>
      <c r="BW2" s="1451"/>
      <c r="BX2" s="1451"/>
      <c r="BY2" s="1451"/>
      <c r="BZ2" s="1451"/>
      <c r="CA2" s="1451"/>
      <c r="CB2" s="1451"/>
      <c r="CC2" s="1451"/>
      <c r="CD2" s="1451"/>
      <c r="CE2" s="1451"/>
      <c r="CF2" s="1451"/>
      <c r="CG2" s="1451"/>
      <c r="CH2" s="1451"/>
      <c r="CI2" s="1451"/>
      <c r="CJ2" s="1451"/>
      <c r="CK2" s="1451"/>
      <c r="CL2" s="1451"/>
      <c r="CM2" s="1451"/>
      <c r="CN2" s="1451"/>
      <c r="CO2" s="1451"/>
      <c r="CP2" s="1451"/>
      <c r="CQ2" s="1451"/>
      <c r="CR2" s="1451"/>
      <c r="CS2" s="1451"/>
      <c r="CT2" s="1451"/>
      <c r="CU2" s="1451"/>
      <c r="CV2" s="1451"/>
      <c r="CW2" s="1451"/>
      <c r="CX2" s="1451"/>
      <c r="CY2" s="1451"/>
      <c r="CZ2" s="1451"/>
      <c r="DA2" s="1451"/>
      <c r="DB2" s="1451"/>
      <c r="DC2" s="1451"/>
      <c r="DD2" s="1451"/>
      <c r="DE2" s="1451"/>
      <c r="DF2" s="1451"/>
      <c r="DG2" s="1451"/>
      <c r="DH2" s="1451"/>
      <c r="DI2" s="1451"/>
      <c r="DJ2" s="1451"/>
      <c r="DK2" s="1451"/>
      <c r="DL2" s="1451"/>
      <c r="DM2" s="1451"/>
      <c r="DN2" s="1451"/>
      <c r="DO2" s="1451"/>
      <c r="DP2" s="1451"/>
      <c r="DQ2" s="1451"/>
      <c r="DR2" s="1451"/>
      <c r="DS2" s="1451"/>
      <c r="DT2" s="1451"/>
      <c r="DU2" s="1451"/>
      <c r="DV2" s="1451"/>
      <c r="DW2" s="1451"/>
      <c r="DX2" s="1451"/>
      <c r="DY2" s="1451"/>
      <c r="DZ2" s="1451"/>
      <c r="EA2" s="1451"/>
      <c r="EB2" s="1451"/>
      <c r="EC2" s="1451"/>
      <c r="ED2" s="1451"/>
      <c r="EE2" s="1451"/>
      <c r="EF2" s="1451"/>
      <c r="EG2" s="1451"/>
      <c r="EH2" s="1451"/>
      <c r="EI2" s="1451"/>
      <c r="EJ2" s="1451"/>
      <c r="EK2" s="1451"/>
      <c r="EL2" s="1451"/>
      <c r="EM2" s="1451"/>
      <c r="EN2" s="1451"/>
      <c r="EO2" s="1451"/>
      <c r="EP2" s="1451"/>
      <c r="EQ2" s="1451"/>
      <c r="ER2" s="1451"/>
      <c r="ES2" s="1451"/>
      <c r="ET2" s="1451"/>
      <c r="EU2" s="1451"/>
      <c r="EV2" s="1451"/>
      <c r="EW2" s="1451"/>
      <c r="EX2" s="1451"/>
      <c r="EY2" s="1451"/>
      <c r="EZ2" s="1451"/>
      <c r="FA2" s="1451"/>
      <c r="FB2" s="1451"/>
      <c r="FC2" s="1451"/>
      <c r="FD2" s="1451"/>
      <c r="FE2" s="1451"/>
      <c r="FF2" s="1451"/>
      <c r="FG2" s="1451"/>
      <c r="FH2" s="1451"/>
      <c r="FI2" s="1451"/>
      <c r="FJ2" s="1451"/>
      <c r="FK2" s="1451"/>
      <c r="FL2" s="1451"/>
      <c r="FM2" s="1451"/>
      <c r="FN2" s="1451"/>
      <c r="FO2" s="1451"/>
      <c r="FP2" s="1451"/>
      <c r="FQ2" s="1451"/>
      <c r="FR2" s="1451"/>
      <c r="FS2" s="1451"/>
      <c r="FT2" s="1451"/>
      <c r="FU2" s="1451"/>
      <c r="FV2" s="1451"/>
      <c r="FW2" s="1451"/>
      <c r="FX2" s="1451"/>
      <c r="FY2" s="1451"/>
      <c r="FZ2" s="1451"/>
      <c r="GA2" s="1451"/>
      <c r="GB2" s="1451"/>
      <c r="GC2" s="1451"/>
      <c r="GD2" s="1451"/>
      <c r="GE2" s="1451"/>
      <c r="GF2" s="1451"/>
      <c r="GG2" s="1451"/>
      <c r="GH2" s="1451"/>
      <c r="GI2" s="1451"/>
      <c r="GJ2" s="1451"/>
      <c r="GK2" s="1451"/>
      <c r="GL2" s="1451"/>
      <c r="GM2" s="1451"/>
      <c r="GN2" s="1451"/>
      <c r="GO2" s="1451"/>
      <c r="GP2" s="1451"/>
      <c r="GQ2" s="1451"/>
      <c r="GR2" s="1451"/>
      <c r="GS2" s="1451"/>
      <c r="GT2" s="1451"/>
      <c r="GU2" s="1451"/>
      <c r="GV2" s="1451"/>
      <c r="GW2" s="1451"/>
      <c r="GX2" s="1451"/>
      <c r="GY2" s="1451"/>
      <c r="GZ2" s="1451"/>
      <c r="HA2" s="1451"/>
      <c r="HB2" s="1451"/>
      <c r="HC2" s="1451"/>
      <c r="HD2" s="1451"/>
      <c r="HE2" s="1451"/>
      <c r="HF2" s="1451"/>
      <c r="HG2" s="1451"/>
      <c r="HH2" s="1451"/>
      <c r="HI2" s="1451"/>
      <c r="HJ2" s="1451"/>
      <c r="HK2" s="1451"/>
      <c r="HL2" s="1451"/>
      <c r="HM2" s="1451"/>
      <c r="HN2" s="1451"/>
      <c r="HO2" s="1451"/>
      <c r="HP2" s="1451"/>
      <c r="HQ2" s="1451"/>
      <c r="HR2" s="1451"/>
      <c r="HS2" s="1451"/>
      <c r="HT2" s="1451"/>
      <c r="HU2" s="1451"/>
      <c r="HV2" s="1451"/>
      <c r="HW2" s="1451"/>
      <c r="HX2" s="1451"/>
      <c r="HY2" s="1451"/>
      <c r="HZ2" s="1451"/>
      <c r="IA2" s="1451"/>
      <c r="IB2" s="1451"/>
      <c r="IC2" s="1451"/>
      <c r="ID2" s="1451"/>
      <c r="IE2" s="1451"/>
      <c r="IF2" s="1451"/>
      <c r="IG2" s="1451"/>
      <c r="IH2" s="1451"/>
      <c r="II2" s="1451"/>
      <c r="IJ2" s="1451"/>
      <c r="IK2" s="1451"/>
      <c r="IL2" s="1451"/>
      <c r="IM2" s="1451"/>
      <c r="IN2" s="1451"/>
      <c r="IO2" s="1451"/>
      <c r="IP2" s="1451"/>
      <c r="IQ2" s="1451"/>
      <c r="IR2" s="1451"/>
      <c r="IS2" s="1451"/>
      <c r="IT2" s="1451"/>
      <c r="IU2" s="1451"/>
      <c r="IV2" s="1451"/>
      <c r="IW2" s="1451"/>
      <c r="IX2" s="1451"/>
      <c r="IY2" s="1451"/>
      <c r="IZ2" s="1451"/>
      <c r="JA2" s="1451"/>
      <c r="JB2" s="1451"/>
      <c r="JC2" s="1451"/>
      <c r="JD2" s="1451"/>
      <c r="JE2" s="1451"/>
      <c r="JF2" s="1451"/>
      <c r="JG2" s="1451"/>
      <c r="JH2" s="1451"/>
      <c r="JI2" s="1451"/>
      <c r="JJ2" s="1451"/>
      <c r="JK2" s="1451"/>
      <c r="JL2" s="1451"/>
      <c r="JM2" s="1451"/>
      <c r="JN2" s="1451"/>
      <c r="JO2" s="1451"/>
      <c r="JP2" s="1451"/>
      <c r="JQ2" s="1451"/>
      <c r="JR2" s="1451"/>
      <c r="JS2" s="1451"/>
      <c r="JT2" s="1451"/>
      <c r="JU2" s="1451"/>
      <c r="JV2" s="1451"/>
      <c r="JW2" s="1451"/>
      <c r="JX2" s="1451"/>
      <c r="JY2" s="1451"/>
      <c r="JZ2" s="1451"/>
      <c r="KA2" s="1451"/>
      <c r="KB2" s="1451"/>
      <c r="KC2" s="1451"/>
      <c r="KD2" s="1451"/>
      <c r="KE2" s="1451"/>
      <c r="KF2" s="1451"/>
      <c r="KG2" s="1451"/>
      <c r="KH2" s="1451"/>
      <c r="KI2" s="1451"/>
      <c r="KJ2" s="1451"/>
      <c r="KK2" s="1451"/>
      <c r="KL2" s="1451"/>
      <c r="KM2" s="1451"/>
      <c r="KN2" s="1451"/>
      <c r="KO2" s="1451"/>
      <c r="KP2" s="1451"/>
      <c r="KQ2" s="1451"/>
      <c r="KR2" s="1451"/>
      <c r="KS2" s="1451"/>
      <c r="KT2" s="1451"/>
      <c r="KU2" s="1451"/>
      <c r="KV2" s="1451"/>
      <c r="KW2" s="1451"/>
      <c r="KX2" s="1451"/>
      <c r="KY2" s="1451"/>
      <c r="KZ2" s="1451"/>
      <c r="LA2" s="1451"/>
      <c r="LB2" s="1451"/>
      <c r="LC2" s="1451"/>
      <c r="LD2" s="1451"/>
      <c r="LE2" s="1451"/>
      <c r="LF2" s="1451"/>
      <c r="LG2" s="1451"/>
      <c r="LH2" s="1451"/>
      <c r="LI2" s="1451"/>
      <c r="LJ2" s="1451"/>
      <c r="LK2" s="1451"/>
      <c r="LL2" s="1451"/>
      <c r="LM2" s="1451"/>
      <c r="LN2" s="1451"/>
      <c r="LO2" s="1451"/>
      <c r="LP2" s="1451"/>
      <c r="LQ2" s="1451"/>
      <c r="LR2" s="1451"/>
      <c r="LS2" s="1451"/>
      <c r="LT2" s="1451"/>
      <c r="LU2" s="1451"/>
      <c r="LV2" s="1451"/>
      <c r="LW2" s="1451"/>
      <c r="LX2" s="1451"/>
      <c r="LY2" s="1451"/>
      <c r="LZ2" s="1451"/>
      <c r="MA2" s="1451"/>
      <c r="MB2" s="1451"/>
      <c r="MC2" s="1451"/>
      <c r="MD2" s="1451"/>
      <c r="ME2" s="1451"/>
      <c r="MF2" s="1451"/>
      <c r="MG2" s="1451"/>
      <c r="MH2" s="1451"/>
      <c r="MI2" s="1451"/>
      <c r="MJ2" s="1451"/>
      <c r="MK2" s="1451"/>
      <c r="ML2" s="1451"/>
      <c r="MM2" s="1451"/>
      <c r="MN2" s="1451"/>
      <c r="MO2" s="1451"/>
      <c r="MP2" s="1451"/>
      <c r="MQ2" s="1451"/>
      <c r="MR2" s="1451"/>
      <c r="MS2" s="1451"/>
      <c r="MT2" s="1451"/>
      <c r="MU2" s="1451"/>
      <c r="MV2" s="1451"/>
      <c r="MW2" s="1451"/>
      <c r="MX2" s="1451"/>
      <c r="MY2" s="1451"/>
      <c r="MZ2" s="1451"/>
      <c r="NA2" s="1451"/>
      <c r="NB2" s="1451"/>
      <c r="NC2" s="1451"/>
      <c r="ND2" s="1451"/>
      <c r="NE2" s="1451"/>
      <c r="NF2" s="1451"/>
      <c r="NG2" s="1451"/>
      <c r="NH2" s="1451"/>
      <c r="NI2" s="1451"/>
      <c r="NJ2" s="1451"/>
      <c r="NK2" s="1451"/>
      <c r="NL2" s="1451"/>
      <c r="NM2" s="1451"/>
      <c r="NN2" s="1451"/>
      <c r="NO2" s="1451"/>
      <c r="NP2" s="1451"/>
      <c r="NQ2" s="1451"/>
      <c r="NR2" s="1451"/>
      <c r="NS2" s="1451"/>
      <c r="NT2" s="1451"/>
      <c r="NU2" s="1451"/>
      <c r="NV2" s="1451"/>
      <c r="NW2" s="1451"/>
      <c r="NX2" s="1451"/>
      <c r="NY2" s="1451"/>
      <c r="NZ2" s="1451"/>
      <c r="OA2" s="1451"/>
      <c r="OB2" s="1451"/>
      <c r="OC2" s="1451"/>
      <c r="OD2" s="1451"/>
      <c r="OE2" s="1451"/>
      <c r="OF2" s="1451"/>
      <c r="OG2" s="1451"/>
      <c r="OH2" s="1451"/>
      <c r="OI2" s="1451"/>
      <c r="OJ2" s="1451"/>
      <c r="OK2" s="1451"/>
      <c r="OL2" s="1451"/>
      <c r="OM2" s="1451"/>
      <c r="ON2" s="1451"/>
      <c r="OO2" s="1451"/>
      <c r="OP2" s="1451"/>
      <c r="OQ2" s="1451"/>
      <c r="OR2" s="1451"/>
      <c r="OS2" s="1451"/>
      <c r="OT2" s="1451"/>
      <c r="OU2" s="1451"/>
      <c r="OV2" s="1451"/>
      <c r="OW2" s="1451"/>
      <c r="OX2" s="1451"/>
      <c r="OY2" s="1451"/>
      <c r="OZ2" s="1451"/>
      <c r="PA2" s="1451"/>
      <c r="PB2" s="1451"/>
      <c r="PC2" s="1451"/>
      <c r="PD2" s="1451"/>
      <c r="PE2" s="1451"/>
      <c r="PF2" s="1451"/>
      <c r="PG2" s="1451"/>
      <c r="PH2" s="1451"/>
      <c r="PI2" s="1451"/>
      <c r="PJ2" s="1451"/>
      <c r="PK2" s="1451"/>
      <c r="PL2" s="1451"/>
      <c r="PM2" s="1451"/>
      <c r="PN2" s="1451"/>
      <c r="PO2" s="1451"/>
      <c r="PP2" s="1451"/>
      <c r="PQ2" s="1451"/>
      <c r="PR2" s="1451"/>
      <c r="PS2" s="1451"/>
      <c r="PT2" s="1451"/>
      <c r="PU2" s="1451"/>
      <c r="PV2" s="1451"/>
      <c r="PW2" s="1451"/>
      <c r="PX2" s="1451"/>
      <c r="PY2" s="1451"/>
      <c r="PZ2" s="1451"/>
      <c r="QA2" s="1451"/>
      <c r="QB2" s="1451"/>
      <c r="QC2" s="1451"/>
      <c r="QD2" s="1451"/>
      <c r="QE2" s="1451"/>
      <c r="QF2" s="1451"/>
      <c r="QG2" s="1451"/>
      <c r="QH2" s="1451"/>
      <c r="QI2" s="1451"/>
      <c r="QJ2" s="1451"/>
      <c r="QK2" s="1451"/>
      <c r="QL2" s="1451"/>
      <c r="QM2" s="1451"/>
      <c r="QN2" s="1451"/>
      <c r="QO2" s="1451"/>
      <c r="QP2" s="1451"/>
      <c r="QQ2" s="1451"/>
      <c r="QR2" s="1451"/>
      <c r="QS2" s="1451"/>
      <c r="QT2" s="1451"/>
      <c r="QU2" s="1451"/>
      <c r="QV2" s="1451"/>
      <c r="QW2" s="1451"/>
      <c r="QX2" s="1451"/>
      <c r="QY2" s="1451"/>
      <c r="QZ2" s="1451"/>
      <c r="RA2" s="1451"/>
      <c r="RB2" s="1451"/>
      <c r="RC2" s="1451"/>
      <c r="RD2" s="1451"/>
      <c r="RE2" s="1451"/>
      <c r="RF2" s="1451"/>
      <c r="RG2" s="1451"/>
      <c r="RH2" s="1451"/>
      <c r="RI2" s="1451"/>
      <c r="RJ2" s="1451"/>
      <c r="RK2" s="1451"/>
      <c r="RL2" s="1451"/>
      <c r="RM2" s="1451"/>
      <c r="RN2" s="1451"/>
      <c r="RO2" s="1451"/>
      <c r="RP2" s="1451"/>
      <c r="RQ2" s="1451"/>
      <c r="RR2" s="1451"/>
      <c r="RS2" s="1451"/>
      <c r="RT2" s="1451"/>
      <c r="RU2" s="1451"/>
      <c r="RV2" s="1451"/>
      <c r="RW2" s="1451"/>
      <c r="RX2" s="1451"/>
      <c r="RY2" s="1451"/>
      <c r="RZ2" s="1451"/>
      <c r="SA2" s="1451"/>
      <c r="SB2" s="1451"/>
      <c r="SC2" s="1451"/>
      <c r="SD2" s="1451"/>
      <c r="SE2" s="1451"/>
      <c r="SF2" s="1451"/>
      <c r="SG2" s="1451"/>
      <c r="SH2" s="1451"/>
      <c r="SI2" s="1451"/>
      <c r="SJ2" s="1451"/>
      <c r="SK2" s="1451"/>
      <c r="SL2" s="1451"/>
      <c r="SM2" s="1451"/>
      <c r="SN2" s="1451"/>
      <c r="SO2" s="1451"/>
      <c r="SP2" s="1451"/>
      <c r="SQ2" s="1451"/>
      <c r="SR2" s="1451"/>
      <c r="SS2" s="1451"/>
      <c r="ST2" s="1451"/>
      <c r="SU2" s="1451"/>
      <c r="SV2" s="1451"/>
      <c r="SW2" s="1451"/>
      <c r="SX2" s="1451"/>
      <c r="SY2" s="1451"/>
      <c r="SZ2" s="1451"/>
      <c r="TA2" s="1451"/>
      <c r="TB2" s="1451"/>
      <c r="TC2" s="1451"/>
      <c r="TD2" s="1451"/>
      <c r="TE2" s="1451"/>
      <c r="TF2" s="1451"/>
      <c r="TG2" s="1451"/>
      <c r="TH2" s="1451"/>
      <c r="TI2" s="1451"/>
      <c r="TJ2" s="1451"/>
      <c r="TK2" s="1451"/>
      <c r="TL2" s="1451"/>
      <c r="TM2" s="1451"/>
      <c r="TN2" s="1451"/>
      <c r="TO2" s="1451"/>
      <c r="TP2" s="1451"/>
      <c r="TQ2" s="1451"/>
      <c r="TR2" s="1451"/>
      <c r="TS2" s="1451"/>
      <c r="TT2" s="1451"/>
      <c r="TU2" s="1451"/>
      <c r="TV2" s="1451"/>
      <c r="TW2" s="1451"/>
      <c r="TX2" s="1451"/>
      <c r="TY2" s="1451"/>
      <c r="TZ2" s="1451"/>
      <c r="UA2" s="1451"/>
      <c r="UB2" s="1451"/>
      <c r="UC2" s="1451"/>
      <c r="UD2" s="1451"/>
      <c r="UE2" s="1451"/>
      <c r="UF2" s="1451"/>
      <c r="UG2" s="1451"/>
      <c r="UH2" s="1451"/>
      <c r="UI2" s="1451"/>
      <c r="UJ2" s="1451"/>
      <c r="UK2" s="1451"/>
      <c r="UL2" s="1451"/>
      <c r="UM2" s="1451"/>
      <c r="UN2" s="1451"/>
      <c r="UO2" s="1451"/>
      <c r="UP2" s="1451"/>
      <c r="UQ2" s="1451"/>
      <c r="UR2" s="1451"/>
      <c r="US2" s="1451"/>
      <c r="UT2" s="1451"/>
      <c r="UU2" s="1451"/>
      <c r="UV2" s="1451"/>
      <c r="UW2" s="1451"/>
      <c r="UX2" s="1451"/>
      <c r="UY2" s="1451"/>
      <c r="UZ2" s="1451"/>
      <c r="VA2" s="1451"/>
      <c r="VB2" s="1451"/>
      <c r="VC2" s="1451"/>
      <c r="VD2" s="1451"/>
      <c r="VE2" s="1451"/>
      <c r="VF2" s="1451"/>
      <c r="VG2" s="1451"/>
      <c r="VH2" s="1451"/>
      <c r="VI2" s="1451"/>
      <c r="VJ2" s="1451"/>
      <c r="VK2" s="1451"/>
      <c r="VL2" s="1451"/>
      <c r="VM2" s="1451"/>
      <c r="VN2" s="1451"/>
      <c r="VO2" s="1451"/>
      <c r="VP2" s="1451"/>
      <c r="VQ2" s="1451"/>
      <c r="VR2" s="1451"/>
      <c r="VS2" s="1451"/>
      <c r="VT2" s="1451"/>
      <c r="VU2" s="1451"/>
      <c r="VV2" s="1451"/>
      <c r="VW2" s="1451"/>
      <c r="VX2" s="1451"/>
      <c r="VY2" s="1451"/>
      <c r="VZ2" s="1451"/>
      <c r="WA2" s="1451"/>
      <c r="WB2" s="1451"/>
      <c r="WC2" s="1451"/>
      <c r="WD2" s="1451"/>
      <c r="WE2" s="1451"/>
      <c r="WF2" s="1451"/>
      <c r="WG2" s="1451"/>
      <c r="WH2" s="1451"/>
      <c r="WI2" s="1451"/>
      <c r="WJ2" s="1451"/>
      <c r="WK2" s="1451"/>
      <c r="WL2" s="1451"/>
      <c r="WM2" s="1451"/>
      <c r="WN2" s="1451"/>
      <c r="WO2" s="1451"/>
      <c r="WP2" s="1451"/>
      <c r="WQ2" s="1451"/>
      <c r="WR2" s="1451"/>
      <c r="WS2" s="1451"/>
      <c r="WT2" s="1451"/>
      <c r="WU2" s="1451"/>
      <c r="WV2" s="1451"/>
      <c r="WW2" s="1451"/>
      <c r="WX2" s="1451"/>
      <c r="WY2" s="1451"/>
      <c r="WZ2" s="1451"/>
      <c r="XA2" s="1451"/>
      <c r="XB2" s="1451"/>
      <c r="XC2" s="1451"/>
      <c r="XD2" s="1451"/>
      <c r="XE2" s="1451"/>
      <c r="XF2" s="1451"/>
      <c r="XG2" s="1451"/>
      <c r="XH2" s="1451"/>
      <c r="XI2" s="1451"/>
      <c r="XJ2" s="1451"/>
      <c r="XK2" s="1451"/>
      <c r="XL2" s="1451"/>
      <c r="XM2" s="1451"/>
      <c r="XN2" s="1451"/>
      <c r="XO2" s="1451"/>
      <c r="XP2" s="1451"/>
      <c r="XQ2" s="1451"/>
      <c r="XR2" s="1451"/>
      <c r="XS2" s="1451"/>
      <c r="XT2" s="1451"/>
      <c r="XU2" s="1451"/>
      <c r="XV2" s="1451"/>
      <c r="XW2" s="1451"/>
      <c r="XX2" s="1451"/>
      <c r="XY2" s="1451"/>
      <c r="XZ2" s="1451"/>
      <c r="YA2" s="1451"/>
      <c r="YB2" s="1451"/>
      <c r="YC2" s="1451"/>
      <c r="YD2" s="1451"/>
      <c r="YE2" s="1451"/>
      <c r="YF2" s="1451"/>
      <c r="YG2" s="1451"/>
      <c r="YH2" s="1451"/>
      <c r="YI2" s="1451"/>
      <c r="YJ2" s="1451"/>
      <c r="YK2" s="1451"/>
      <c r="YL2" s="1451"/>
      <c r="YM2" s="1451"/>
      <c r="YN2" s="1451"/>
      <c r="YO2" s="1451"/>
      <c r="YP2" s="1451"/>
      <c r="YQ2" s="1451"/>
      <c r="YR2" s="1451"/>
      <c r="YS2" s="1451"/>
      <c r="YT2" s="1451"/>
      <c r="YU2" s="1451"/>
      <c r="YV2" s="1451"/>
      <c r="YW2" s="1451"/>
      <c r="YX2" s="1451"/>
      <c r="YY2" s="1451"/>
      <c r="YZ2" s="1451"/>
      <c r="ZA2" s="1451"/>
      <c r="ZB2" s="1451"/>
      <c r="ZC2" s="1451"/>
      <c r="ZD2" s="1451"/>
      <c r="ZE2" s="1451"/>
      <c r="ZF2" s="1451"/>
      <c r="ZG2" s="1451"/>
      <c r="ZH2" s="1451"/>
      <c r="ZI2" s="1451"/>
      <c r="ZJ2" s="1451"/>
      <c r="ZK2" s="1451"/>
      <c r="ZL2" s="1451"/>
      <c r="ZM2" s="1451"/>
      <c r="ZN2" s="1451"/>
      <c r="ZO2" s="1451"/>
      <c r="ZP2" s="1451"/>
      <c r="ZQ2" s="1451"/>
      <c r="ZR2" s="1451"/>
      <c r="ZS2" s="1451"/>
      <c r="ZT2" s="1451"/>
      <c r="ZU2" s="1451"/>
      <c r="ZV2" s="1451"/>
      <c r="ZW2" s="1451"/>
      <c r="ZX2" s="1451"/>
      <c r="ZY2" s="1451"/>
      <c r="ZZ2" s="1451"/>
      <c r="AAA2" s="1451"/>
      <c r="AAB2" s="1451"/>
      <c r="AAC2" s="1451"/>
      <c r="AAD2" s="1451"/>
      <c r="AAE2" s="1451"/>
      <c r="AAF2" s="1451"/>
      <c r="AAG2" s="1451"/>
      <c r="AAH2" s="1451"/>
      <c r="AAI2" s="1451"/>
      <c r="AAJ2" s="1451"/>
      <c r="AAK2" s="1451"/>
      <c r="AAL2" s="1451"/>
      <c r="AAM2" s="1451"/>
      <c r="AAN2" s="1451"/>
      <c r="AAO2" s="1451"/>
      <c r="AAP2" s="1451"/>
      <c r="AAQ2" s="1451"/>
      <c r="AAR2" s="1451"/>
      <c r="AAS2" s="1451"/>
      <c r="AAT2" s="1451"/>
      <c r="AAU2" s="1451"/>
      <c r="AAV2" s="1451"/>
      <c r="AAW2" s="1451"/>
      <c r="AAX2" s="1451"/>
      <c r="AAY2" s="1451"/>
      <c r="AAZ2" s="1451"/>
      <c r="ABA2" s="1451"/>
      <c r="ABB2" s="1451"/>
      <c r="ABC2" s="1451"/>
      <c r="ABD2" s="1451"/>
      <c r="ABE2" s="1451"/>
      <c r="ABF2" s="1451"/>
      <c r="ABG2" s="1451"/>
      <c r="ABH2" s="1451"/>
      <c r="ABI2" s="1451"/>
      <c r="ABJ2" s="1451"/>
      <c r="ABK2" s="1451"/>
      <c r="ABL2" s="1451"/>
      <c r="ABM2" s="1451"/>
      <c r="ABN2" s="1451"/>
      <c r="ABO2" s="1451"/>
      <c r="ABP2" s="1451"/>
      <c r="ABQ2" s="1451"/>
      <c r="ABR2" s="1451"/>
      <c r="ABS2" s="1451"/>
      <c r="ABT2" s="1451"/>
      <c r="ABU2" s="1451"/>
      <c r="ABV2" s="1451"/>
      <c r="ABW2" s="1451"/>
      <c r="ABX2" s="1451"/>
      <c r="ABY2" s="1451"/>
      <c r="ABZ2" s="1451"/>
      <c r="ACA2" s="1451"/>
      <c r="ACB2" s="1451"/>
      <c r="ACC2" s="1451"/>
      <c r="ACD2" s="1451"/>
      <c r="ACE2" s="1451"/>
      <c r="ACF2" s="1451"/>
      <c r="ACG2" s="1451"/>
      <c r="ACH2" s="1451"/>
      <c r="ACI2" s="1451"/>
      <c r="ACJ2" s="1451"/>
      <c r="ACK2" s="1451"/>
      <c r="ACL2" s="1451"/>
      <c r="ACM2" s="1451"/>
      <c r="ACN2" s="1451"/>
      <c r="ACO2" s="1451"/>
      <c r="ACP2" s="1451"/>
      <c r="ACQ2" s="1451"/>
      <c r="ACR2" s="1451"/>
      <c r="ACS2" s="1451"/>
      <c r="ACT2" s="1451"/>
      <c r="ACU2" s="1451"/>
      <c r="ACV2" s="1451"/>
      <c r="ACW2" s="1451"/>
      <c r="ACX2" s="1451"/>
      <c r="ACY2" s="1451"/>
      <c r="ACZ2" s="1451"/>
      <c r="ADA2" s="1451"/>
      <c r="ADB2" s="1451"/>
      <c r="ADC2" s="1451"/>
      <c r="ADD2" s="1451"/>
      <c r="ADE2" s="1451"/>
      <c r="ADF2" s="1451"/>
      <c r="ADG2" s="1451"/>
      <c r="ADH2" s="1451"/>
      <c r="ADI2" s="1451"/>
      <c r="ADJ2" s="1451"/>
      <c r="ADK2" s="1451"/>
      <c r="ADL2" s="1451"/>
      <c r="ADM2" s="1451"/>
      <c r="ADN2" s="1451"/>
      <c r="ADO2" s="1451"/>
      <c r="ADP2" s="1451"/>
      <c r="ADQ2" s="1451"/>
      <c r="ADR2" s="1451"/>
      <c r="ADS2" s="1451"/>
      <c r="ADT2" s="1451"/>
      <c r="ADU2" s="1451"/>
      <c r="ADV2" s="1451"/>
      <c r="ADW2" s="1451"/>
      <c r="ADX2" s="1451"/>
      <c r="ADY2" s="1451"/>
      <c r="ADZ2" s="1451"/>
      <c r="AEA2" s="1451"/>
      <c r="AEB2" s="1451"/>
      <c r="AEC2" s="1451"/>
      <c r="AED2" s="1451"/>
      <c r="AEE2" s="1451"/>
      <c r="AEF2" s="1451"/>
      <c r="AEG2" s="1451"/>
      <c r="AEH2" s="1451"/>
      <c r="AEI2" s="1451"/>
      <c r="AEJ2" s="1451"/>
      <c r="AEK2" s="1451"/>
      <c r="AEL2" s="1451"/>
      <c r="AEM2" s="1451"/>
      <c r="AEN2" s="1451"/>
      <c r="AEO2" s="1451"/>
      <c r="AEP2" s="1451"/>
      <c r="AEQ2" s="1451"/>
      <c r="AER2" s="1451"/>
      <c r="AES2" s="1451"/>
      <c r="AET2" s="1451"/>
      <c r="AEU2" s="1451"/>
      <c r="AEV2" s="1451"/>
      <c r="AEW2" s="1451"/>
      <c r="AEX2" s="1451"/>
      <c r="AEY2" s="1451"/>
      <c r="AEZ2" s="1451"/>
      <c r="AFA2" s="1451"/>
      <c r="AFB2" s="1451"/>
      <c r="AFC2" s="1451"/>
      <c r="AFD2" s="1451"/>
      <c r="AFE2" s="1451"/>
      <c r="AFF2" s="1451"/>
      <c r="AFG2" s="1451"/>
      <c r="AFH2" s="1451"/>
      <c r="AFI2" s="1451"/>
      <c r="AFJ2" s="1451"/>
      <c r="AFK2" s="1451"/>
      <c r="AFL2" s="1451"/>
      <c r="AFM2" s="1451"/>
      <c r="AFN2" s="1451"/>
      <c r="AFO2" s="1451"/>
      <c r="AFP2" s="1451"/>
      <c r="AFQ2" s="1451"/>
      <c r="AFR2" s="1451"/>
      <c r="AFS2" s="1451"/>
      <c r="AFT2" s="1451"/>
      <c r="AFU2" s="1451"/>
      <c r="AFV2" s="1451"/>
      <c r="AFW2" s="1451"/>
      <c r="AFX2" s="1451"/>
      <c r="AFY2" s="1451"/>
      <c r="AFZ2" s="1451"/>
      <c r="AGA2" s="1451"/>
      <c r="AGB2" s="1451"/>
      <c r="AGC2" s="1451"/>
      <c r="AGD2" s="1451"/>
      <c r="AGE2" s="1451"/>
      <c r="AGF2" s="1451"/>
      <c r="AGG2" s="1451"/>
      <c r="AGH2" s="1451"/>
      <c r="AGI2" s="1451"/>
      <c r="AGJ2" s="1451"/>
      <c r="AGK2" s="1451"/>
      <c r="AGL2" s="1451"/>
      <c r="AGM2" s="1451"/>
      <c r="AGN2" s="1451"/>
      <c r="AGO2" s="1451"/>
      <c r="AGP2" s="1451"/>
      <c r="AGQ2" s="1451"/>
      <c r="AGR2" s="1451"/>
      <c r="AGS2" s="1451"/>
      <c r="AGT2" s="1451"/>
      <c r="AGU2" s="1451"/>
      <c r="AGV2" s="1451"/>
      <c r="AGW2" s="1451"/>
      <c r="AGX2" s="1451"/>
      <c r="AGY2" s="1451"/>
      <c r="AGZ2" s="1451"/>
      <c r="AHA2" s="1451"/>
      <c r="AHB2" s="1451"/>
      <c r="AHC2" s="1451"/>
      <c r="AHD2" s="1451"/>
      <c r="AHE2" s="1451"/>
      <c r="AHF2" s="1451"/>
      <c r="AHG2" s="1451"/>
      <c r="AHH2" s="1451"/>
      <c r="AHI2" s="1451"/>
      <c r="AHJ2" s="1451"/>
      <c r="AHK2" s="1451"/>
      <c r="AHL2" s="1451"/>
      <c r="AHM2" s="1451"/>
      <c r="AHN2" s="1451"/>
      <c r="AHO2" s="1451"/>
      <c r="AHP2" s="1451"/>
      <c r="AHQ2" s="1451"/>
      <c r="AHR2" s="1451"/>
      <c r="AHS2" s="1451"/>
      <c r="AHT2" s="1451"/>
      <c r="AHU2" s="1451"/>
      <c r="AHV2" s="1451"/>
      <c r="AHW2" s="1451"/>
      <c r="AHX2" s="1451"/>
      <c r="AHY2" s="1451"/>
      <c r="AHZ2" s="1451"/>
      <c r="AIA2" s="1451"/>
      <c r="AIB2" s="1451"/>
      <c r="AIC2" s="1451"/>
      <c r="AID2" s="1451"/>
      <c r="AIE2" s="1451"/>
      <c r="AIF2" s="1451"/>
      <c r="AIG2" s="1451"/>
      <c r="AIH2" s="1451"/>
      <c r="AII2" s="1451"/>
      <c r="AIJ2" s="1451"/>
      <c r="AIK2" s="1451"/>
      <c r="AIL2" s="1451"/>
      <c r="AIM2" s="1451"/>
      <c r="AIN2" s="1451"/>
      <c r="AIO2" s="1451"/>
      <c r="AIP2" s="1451"/>
      <c r="AIQ2" s="1451"/>
      <c r="AIR2" s="1451"/>
      <c r="AIS2" s="1451"/>
      <c r="AIT2" s="1451"/>
      <c r="AIU2" s="1451"/>
      <c r="AIV2" s="1451"/>
      <c r="AIW2" s="1451"/>
      <c r="AIX2" s="1451"/>
      <c r="AIY2" s="1451"/>
      <c r="AIZ2" s="1451"/>
      <c r="AJA2" s="1451"/>
      <c r="AJB2" s="1451"/>
      <c r="AJC2" s="1451"/>
      <c r="AJD2" s="1451"/>
      <c r="AJE2" s="1451"/>
      <c r="AJF2" s="1451"/>
      <c r="AJG2" s="1451"/>
      <c r="AJH2" s="1451"/>
      <c r="AJI2" s="1451"/>
      <c r="AJJ2" s="1451"/>
      <c r="AJK2" s="1451"/>
      <c r="AJL2" s="1451"/>
      <c r="AJM2" s="1451"/>
      <c r="AJN2" s="1451"/>
      <c r="AJO2" s="1451"/>
      <c r="AJP2" s="1451"/>
      <c r="AJQ2" s="1451"/>
      <c r="AJR2" s="1451"/>
      <c r="AJS2" s="1451"/>
      <c r="AJT2" s="1451"/>
      <c r="AJU2" s="1451"/>
      <c r="AJV2" s="1451"/>
      <c r="AJW2" s="1451"/>
      <c r="AJX2" s="1451"/>
      <c r="AJY2" s="1451"/>
      <c r="AJZ2" s="1451"/>
      <c r="AKA2" s="1451"/>
      <c r="AKB2" s="1451"/>
      <c r="AKC2" s="1451"/>
      <c r="AKD2" s="1451"/>
      <c r="AKE2" s="1451"/>
      <c r="AKF2" s="1451"/>
      <c r="AKG2" s="1451"/>
      <c r="AKH2" s="1451"/>
      <c r="AKI2" s="1451"/>
      <c r="AKJ2" s="1451"/>
      <c r="AKK2" s="1451"/>
      <c r="AKL2" s="1451"/>
      <c r="AKM2" s="1451"/>
      <c r="AKN2" s="1451"/>
      <c r="AKO2" s="1451"/>
      <c r="AKP2" s="1451"/>
      <c r="AKQ2" s="1451"/>
      <c r="AKR2" s="1451"/>
      <c r="AKS2" s="1451"/>
      <c r="AKT2" s="1451"/>
      <c r="AKU2" s="1451"/>
      <c r="AKV2" s="1451"/>
      <c r="AKW2" s="1451"/>
      <c r="AKX2" s="1451"/>
      <c r="AKY2" s="1451"/>
      <c r="AKZ2" s="1451"/>
      <c r="ALA2" s="1451"/>
      <c r="ALB2" s="1451"/>
      <c r="ALC2" s="1451"/>
      <c r="ALD2" s="1451"/>
      <c r="ALE2" s="1451"/>
      <c r="ALF2" s="1451"/>
      <c r="ALG2" s="1451"/>
      <c r="ALH2" s="1451"/>
      <c r="ALI2" s="1451"/>
      <c r="ALJ2" s="1451"/>
      <c r="ALK2" s="1451"/>
      <c r="ALL2" s="1451"/>
      <c r="ALM2" s="1451"/>
      <c r="ALN2" s="1451"/>
      <c r="ALO2" s="1451"/>
      <c r="ALP2" s="1451"/>
      <c r="ALQ2" s="1451"/>
      <c r="ALR2" s="1451"/>
      <c r="ALS2" s="1451"/>
      <c r="ALT2" s="1451"/>
      <c r="ALU2" s="1451"/>
      <c r="ALV2" s="1451"/>
      <c r="ALW2" s="1451"/>
      <c r="ALX2" s="1451"/>
      <c r="ALY2" s="1451"/>
      <c r="ALZ2" s="1451"/>
      <c r="AMA2" s="1451"/>
      <c r="AMB2" s="1451"/>
      <c r="AMC2" s="1451"/>
      <c r="AMD2" s="1451"/>
      <c r="AME2" s="1451"/>
      <c r="AMF2" s="1451"/>
      <c r="AMG2" s="1451"/>
      <c r="AMH2" s="1451"/>
      <c r="AMI2" s="1451"/>
      <c r="AMJ2" s="1451"/>
    </row>
    <row r="3" spans="1:1024" ht="6.75" customHeight="1">
      <c r="A3" s="1400"/>
      <c r="B3" s="1400"/>
      <c r="C3" s="1368"/>
      <c r="D3" s="1368"/>
      <c r="E3" s="1368"/>
      <c r="F3" s="1368"/>
      <c r="G3" s="1368"/>
      <c r="H3" s="1368"/>
    </row>
    <row r="4" spans="1:1024" ht="22.5" customHeight="1">
      <c r="A4" s="1661" t="str">
        <f>IF(H101-E101=0,"Votre bilan est équilibré, écart ci-dessous"," Votre bilan est déséquilibré, écart ci-dessous, Veuillez le réquilibrer SVP")</f>
        <v>Votre bilan est équilibré, écart ci-dessous</v>
      </c>
      <c r="B4" s="1661"/>
      <c r="C4" s="1661"/>
      <c r="D4" s="1661"/>
      <c r="E4" s="1661"/>
      <c r="F4" s="1661"/>
      <c r="G4" s="1661"/>
      <c r="H4" s="1661"/>
    </row>
    <row r="5" spans="1:1024" ht="14.1" customHeight="1">
      <c r="A5" s="1401"/>
      <c r="B5" s="1335" t="s">
        <v>5</v>
      </c>
      <c r="C5" s="1335" t="s">
        <v>6</v>
      </c>
      <c r="D5" s="1369" t="s">
        <v>180</v>
      </c>
      <c r="E5" s="1335" t="s">
        <v>7</v>
      </c>
      <c r="F5" s="1370"/>
      <c r="G5" s="1335" t="s">
        <v>8</v>
      </c>
      <c r="H5" s="1335" t="s">
        <v>7</v>
      </c>
    </row>
    <row r="6" spans="1:1024" ht="14.1" customHeight="1">
      <c r="A6" s="1402"/>
      <c r="B6" s="1403" t="s">
        <v>181</v>
      </c>
      <c r="C6" s="1371"/>
      <c r="D6" s="1371"/>
      <c r="E6" s="1404">
        <f>SUM(E7,E22,E49)</f>
        <v>675100</v>
      </c>
      <c r="F6" s="1405"/>
      <c r="G6" s="1403" t="s">
        <v>182</v>
      </c>
      <c r="H6" s="1371">
        <f>SUM(H7:H13)</f>
        <v>-1400</v>
      </c>
    </row>
    <row r="7" spans="1:1024" ht="14.1" customHeight="1">
      <c r="A7" s="1406">
        <f>Bilanouverture!A7</f>
        <v>210</v>
      </c>
      <c r="B7" s="1518" t="str">
        <f>Bilanouverture!B7</f>
        <v>Immobilisations incorporelles</v>
      </c>
      <c r="C7" s="1519">
        <f>SUM(C8:C21)</f>
        <v>60000</v>
      </c>
      <c r="D7" s="1372">
        <f>SUM(D8:D21)</f>
        <v>3000</v>
      </c>
      <c r="E7" s="1372">
        <f>SUM(E8:E21)</f>
        <v>57000</v>
      </c>
      <c r="F7" s="1407">
        <f>Bilanouverture!F7</f>
        <v>101</v>
      </c>
      <c r="G7" s="1407" t="str">
        <f>Bilanouverture!G7</f>
        <v>Capital Social</v>
      </c>
      <c r="H7" s="1517">
        <f>Bilanouverture!H7-Balance!E4</f>
        <v>0</v>
      </c>
    </row>
    <row r="8" spans="1:1024" ht="14.1" customHeight="1">
      <c r="A8" s="1408">
        <f>Bilanouverture!A8</f>
        <v>211</v>
      </c>
      <c r="B8" s="1408" t="str">
        <f>Bilanouverture!B8</f>
        <v>Frais recherche et développement</v>
      </c>
      <c r="C8" s="1409">
        <f>Bilanouverture!C8+Balance!E77</f>
        <v>0</v>
      </c>
      <c r="D8" s="1409"/>
      <c r="E8" s="1410"/>
      <c r="F8" s="1407" t="str">
        <f>Bilanouverture!F8</f>
        <v>1011</v>
      </c>
      <c r="G8" s="1407" t="str">
        <f>Bilanouverture!G8</f>
        <v>Capital souscrit, non appelé</v>
      </c>
      <c r="H8" s="1517">
        <f>Bilanouverture!H8-Balance!E5</f>
        <v>0</v>
      </c>
    </row>
    <row r="9" spans="1:1024" ht="14.1" customHeight="1">
      <c r="A9" s="1408">
        <f>Bilanouverture!A9</f>
        <v>2811</v>
      </c>
      <c r="B9" s="1408" t="str">
        <f>Bilanouverture!B9</f>
        <v>Amortissements. : frais R &amp;D</v>
      </c>
      <c r="C9" s="1373"/>
      <c r="D9" s="1409">
        <f>Bilanouverture!D9-Balance!E78</f>
        <v>0</v>
      </c>
      <c r="E9" s="1411">
        <f>C8-D9</f>
        <v>0</v>
      </c>
      <c r="F9" s="1407">
        <f>Bilanouverture!F9</f>
        <v>1012</v>
      </c>
      <c r="G9" s="1407" t="str">
        <f>Bilanouverture!G9</f>
        <v>Capital souscrit, appelé, non versé</v>
      </c>
      <c r="H9" s="1517">
        <f>Bilanouverture!H9-Balance!E6</f>
        <v>0</v>
      </c>
    </row>
    <row r="10" spans="1:1024" ht="14.1" customHeight="1">
      <c r="A10" s="1408">
        <f>Bilanouverture!A10</f>
        <v>212</v>
      </c>
      <c r="B10" s="1408" t="str">
        <f>Bilanouverture!B10</f>
        <v>Brevets, licences, concessions</v>
      </c>
      <c r="C10" s="1409">
        <f>Bilanouverture!C10+Balance!E79</f>
        <v>20000</v>
      </c>
      <c r="D10" s="1409"/>
      <c r="E10" s="1410"/>
      <c r="F10" s="1407">
        <f>Bilanouverture!F10</f>
        <v>1013</v>
      </c>
      <c r="G10" s="1407" t="str">
        <f>Bilanouverture!G10</f>
        <v>Capital souscrit, appelé, versé, non amorti</v>
      </c>
      <c r="H10" s="1517">
        <f>Bilanouverture!H10-Balance!E7</f>
        <v>0</v>
      </c>
    </row>
    <row r="11" spans="1:1024" ht="14.1" customHeight="1">
      <c r="A11" s="1408">
        <f>Bilanouverture!A11</f>
        <v>2812</v>
      </c>
      <c r="B11" s="1408" t="str">
        <f>Bilanouverture!B11</f>
        <v>Amortissements. : brevets, licences</v>
      </c>
      <c r="C11" s="1373"/>
      <c r="D11" s="1409">
        <f>Bilanouverture!D11-Balance!E80</f>
        <v>1000</v>
      </c>
      <c r="E11" s="1411">
        <f t="shared" ref="E11" si="0">C10-D11</f>
        <v>19000</v>
      </c>
      <c r="F11" s="1407">
        <f>Bilanouverture!F11</f>
        <v>1020</v>
      </c>
      <c r="G11" s="1407" t="str">
        <f>Bilanouverture!G11</f>
        <v>Capital par dotation</v>
      </c>
      <c r="H11" s="1517">
        <f>Bilanouverture!H11-Balance!E8</f>
        <v>0</v>
      </c>
    </row>
    <row r="12" spans="1:1024" ht="14.1" customHeight="1">
      <c r="A12" s="1408">
        <f>Bilanouverture!A12</f>
        <v>213</v>
      </c>
      <c r="B12" s="1408" t="str">
        <f>Bilanouverture!B12</f>
        <v>Logiciels &amp; marques</v>
      </c>
      <c r="C12" s="1409">
        <f>Bilanouverture!C12+Balance!E81</f>
        <v>20000</v>
      </c>
      <c r="D12" s="1409"/>
      <c r="E12" s="1410"/>
      <c r="F12" s="1407">
        <f>Bilanouverture!F12</f>
        <v>103</v>
      </c>
      <c r="G12" s="1407" t="str">
        <f>Bilanouverture!G12</f>
        <v>Capital personnel</v>
      </c>
      <c r="H12" s="1517">
        <f>Bilanouverture!H12-Balance!E9</f>
        <v>0</v>
      </c>
    </row>
    <row r="13" spans="1:1024" ht="14.1" customHeight="1">
      <c r="A13" s="1408">
        <f>Bilanouverture!A13</f>
        <v>2813</v>
      </c>
      <c r="B13" s="1408" t="str">
        <f>Bilanouverture!B13</f>
        <v>Amortissements des logiciels &amp;marques</v>
      </c>
      <c r="C13" s="1373"/>
      <c r="D13" s="1409">
        <f>Bilanouverture!D13-Balance!E82</f>
        <v>1000</v>
      </c>
      <c r="E13" s="1411">
        <f t="shared" ref="E13" si="1">C12-D13</f>
        <v>19000</v>
      </c>
      <c r="F13" s="1407">
        <f>Bilanouverture!F13</f>
        <v>104</v>
      </c>
      <c r="G13" s="1407" t="str">
        <f>Bilanouverture!G13</f>
        <v>Compte de l'exploitant ou privée</v>
      </c>
      <c r="H13" s="1517">
        <f>Bilanouverture!H13-Balance!E10</f>
        <v>-1400</v>
      </c>
    </row>
    <row r="14" spans="1:1024" ht="14.1" customHeight="1">
      <c r="A14" s="1408">
        <f>Bilanouverture!A14</f>
        <v>215</v>
      </c>
      <c r="B14" s="1408" t="str">
        <f>Bilanouverture!B14</f>
        <v>Fonds commercial</v>
      </c>
      <c r="C14" s="1409">
        <f>Bilanouverture!C14+Balance!E83</f>
        <v>0</v>
      </c>
      <c r="D14" s="1409"/>
      <c r="E14" s="1410"/>
      <c r="F14" s="1412"/>
      <c r="G14" s="1413" t="s">
        <v>1610</v>
      </c>
      <c r="H14" s="1414">
        <f>SUM(H15:H19)</f>
        <v>0</v>
      </c>
    </row>
    <row r="15" spans="1:1024" ht="14.1" customHeight="1">
      <c r="A15" s="1408">
        <f>Bilanouverture!A15</f>
        <v>2815</v>
      </c>
      <c r="B15" s="1408" t="str">
        <f>Bilanouverture!B15</f>
        <v>Amortissements. du fonds commercial</v>
      </c>
      <c r="C15" s="1373"/>
      <c r="D15" s="1409">
        <f>Bilanouverture!D15-Balance!E84</f>
        <v>0</v>
      </c>
      <c r="E15" s="1411">
        <f t="shared" ref="E15" si="2">C14-D15</f>
        <v>0</v>
      </c>
      <c r="F15" s="1407">
        <f>Bilanouverture!F15</f>
        <v>1051</v>
      </c>
      <c r="G15" s="1407" t="str">
        <f>Bilanouverture!G15</f>
        <v>Primes d'émission</v>
      </c>
      <c r="H15" s="1517">
        <f>Bilanouverture!H15-Balance!E11</f>
        <v>0</v>
      </c>
    </row>
    <row r="16" spans="1:1024" ht="14.1" customHeight="1">
      <c r="A16" s="1408">
        <f>Bilanouverture!A16</f>
        <v>216</v>
      </c>
      <c r="B16" s="1408" t="str">
        <f>Bilanouverture!B16</f>
        <v>Droit au bail</v>
      </c>
      <c r="C16" s="1409">
        <f>Bilanouverture!C16+Balance!E85</f>
        <v>0</v>
      </c>
      <c r="D16" s="1409"/>
      <c r="E16" s="1410"/>
      <c r="F16" s="1407">
        <f>Bilanouverture!F16</f>
        <v>1052</v>
      </c>
      <c r="G16" s="1407" t="str">
        <f>Bilanouverture!G16</f>
        <v>Primes d'apport</v>
      </c>
      <c r="H16" s="1517">
        <f>Bilanouverture!H16-Balance!E12</f>
        <v>0</v>
      </c>
    </row>
    <row r="17" spans="1:8" ht="14.1" customHeight="1">
      <c r="A17" s="1408">
        <f>Bilanouverture!A17</f>
        <v>2816</v>
      </c>
      <c r="B17" s="1408" t="str">
        <f>Bilanouverture!B17</f>
        <v>Amortissements du droit au bail</v>
      </c>
      <c r="C17" s="1373"/>
      <c r="D17" s="1409">
        <f>Bilanouverture!D17-Balance!E86</f>
        <v>0</v>
      </c>
      <c r="E17" s="1411">
        <f t="shared" ref="E17" si="3">C16-D17</f>
        <v>0</v>
      </c>
      <c r="F17" s="1407">
        <f>Bilanouverture!F17</f>
        <v>1053</v>
      </c>
      <c r="G17" s="1407" t="str">
        <f>Bilanouverture!G17</f>
        <v>Primes de fusion</v>
      </c>
      <c r="H17" s="1517">
        <f>Bilanouverture!H17-Balance!E13</f>
        <v>0</v>
      </c>
    </row>
    <row r="18" spans="1:8" ht="14.1" customHeight="1">
      <c r="A18" s="1408">
        <f>Bilanouverture!A18</f>
        <v>217</v>
      </c>
      <c r="B18" s="1408" t="str">
        <f>Bilanouverture!B18</f>
        <v>Investissements de création</v>
      </c>
      <c r="C18" s="1409">
        <f>Bilanouverture!C18+Balance!E87</f>
        <v>0</v>
      </c>
      <c r="D18" s="1409"/>
      <c r="E18" s="1410"/>
      <c r="F18" s="1407">
        <f>Bilanouverture!F18</f>
        <v>1054</v>
      </c>
      <c r="G18" s="1407" t="str">
        <f>Bilanouverture!G18</f>
        <v>Primes de conversion</v>
      </c>
      <c r="H18" s="1517">
        <f>Bilanouverture!H18-Balance!E14</f>
        <v>0</v>
      </c>
    </row>
    <row r="19" spans="1:8" ht="14.1" customHeight="1">
      <c r="A19" s="1408">
        <f>Bilanouverture!A19</f>
        <v>2817</v>
      </c>
      <c r="B19" s="1408" t="str">
        <f>Bilanouverture!B19</f>
        <v>Amont. : investissements. création</v>
      </c>
      <c r="C19" s="1373"/>
      <c r="D19" s="1409">
        <f>Bilanouverture!D19-Balance!E88</f>
        <v>0</v>
      </c>
      <c r="E19" s="1411">
        <f t="shared" ref="E19" si="4">C18-D19</f>
        <v>0</v>
      </c>
      <c r="F19" s="1407">
        <f>Bilanouverture!F19</f>
        <v>1058</v>
      </c>
      <c r="G19" s="1407" t="str">
        <f>Bilanouverture!G19</f>
        <v>Autres primes</v>
      </c>
      <c r="H19" s="1517">
        <f>Bilanouverture!H19-Balance!E15</f>
        <v>0</v>
      </c>
    </row>
    <row r="20" spans="1:8" ht="14.1" customHeight="1">
      <c r="A20" s="1408">
        <f>Bilanouverture!A20</f>
        <v>218</v>
      </c>
      <c r="B20" s="1408" t="str">
        <f>Bilanouverture!B20</f>
        <v>Autres droits, valeurs incorporelles.</v>
      </c>
      <c r="C20" s="1409">
        <f>Bilanouverture!C20+Balance!E89</f>
        <v>20000</v>
      </c>
      <c r="D20" s="1409"/>
      <c r="E20" s="1410"/>
      <c r="F20" s="1415"/>
      <c r="G20" s="1416" t="s">
        <v>492</v>
      </c>
      <c r="H20" s="1417">
        <f>SUM(H21:H26)</f>
        <v>0</v>
      </c>
    </row>
    <row r="21" spans="1:8" ht="14.1" customHeight="1">
      <c r="A21" s="1408">
        <f>Bilanouverture!A21</f>
        <v>2818</v>
      </c>
      <c r="B21" s="1408" t="str">
        <f>Bilanouverture!B21</f>
        <v>Amortissements. autres  valeurs incorporelles.</v>
      </c>
      <c r="C21" s="1373"/>
      <c r="D21" s="1409">
        <f>Bilanouverture!D21-Balance!E90</f>
        <v>1000</v>
      </c>
      <c r="E21" s="1411">
        <f t="shared" ref="E21" si="5">C20-D21</f>
        <v>19000</v>
      </c>
      <c r="F21" s="1418">
        <f>Bilanouverture!F21</f>
        <v>111</v>
      </c>
      <c r="G21" s="1418" t="str">
        <f>Bilanouverture!G21</f>
        <v>Réserves légales</v>
      </c>
      <c r="H21" s="1517">
        <f>Bilanouverture!H21-Balance!E16</f>
        <v>0</v>
      </c>
    </row>
    <row r="22" spans="1:8" ht="14.1" customHeight="1">
      <c r="A22" s="1405" t="s">
        <v>183</v>
      </c>
      <c r="B22" s="1438"/>
      <c r="C22" s="1563">
        <f>SUM(C23:C48)</f>
        <v>519500</v>
      </c>
      <c r="D22" s="1374">
        <f>SUM(D23:D48)</f>
        <v>1000</v>
      </c>
      <c r="E22" s="1374">
        <f t="shared" ref="E22" si="6">SUM(E23:E48)</f>
        <v>518500</v>
      </c>
      <c r="F22" s="1418">
        <f>Bilanouverture!F22</f>
        <v>112</v>
      </c>
      <c r="G22" s="1418" t="str">
        <f>Bilanouverture!G22</f>
        <v>Réserves statutaires ou contractuelles</v>
      </c>
      <c r="H22" s="1517">
        <f>Bilanouverture!H22-Balance!E17</f>
        <v>0</v>
      </c>
    </row>
    <row r="23" spans="1:8" ht="14.1" customHeight="1">
      <c r="A23" s="1418">
        <f>Bilanouverture!A23</f>
        <v>221</v>
      </c>
      <c r="B23" s="1418" t="str">
        <f>Bilanouverture!B23</f>
        <v>Terrains agricoles, forestiers, nu, bâtit</v>
      </c>
      <c r="C23" s="1564">
        <f>Bilanouverture!C23+Balance!E91</f>
        <v>-5000</v>
      </c>
      <c r="D23" s="1565"/>
      <c r="E23" s="1419">
        <f>C23-D23</f>
        <v>-5000</v>
      </c>
      <c r="F23" s="1418">
        <f>Bilanouverture!F23</f>
        <v>113</v>
      </c>
      <c r="G23" s="1418" t="str">
        <f>Bilanouverture!G23</f>
        <v>Réserves réglementées</v>
      </c>
      <c r="H23" s="1517">
        <f>Bilanouverture!H23-Balance!E18</f>
        <v>0</v>
      </c>
    </row>
    <row r="24" spans="1:8" ht="14.1" customHeight="1">
      <c r="A24" s="1418">
        <f>Bilanouverture!A24</f>
        <v>231</v>
      </c>
      <c r="B24" s="1418" t="str">
        <f>Bilanouverture!B24</f>
        <v>Bâtiments sur sol propre</v>
      </c>
      <c r="C24" s="1564">
        <f>Bilanouverture!C24+Balance!E92</f>
        <v>80000</v>
      </c>
      <c r="D24" s="1565"/>
      <c r="E24" s="1410"/>
      <c r="F24" s="1418">
        <f>Bilanouverture!F24</f>
        <v>1181</v>
      </c>
      <c r="G24" s="1418" t="str">
        <f>Bilanouverture!G24</f>
        <v>Réserves facultatives et diverses</v>
      </c>
      <c r="H24" s="1517">
        <f>Bilanouverture!H24-Balance!E19</f>
        <v>0</v>
      </c>
    </row>
    <row r="25" spans="1:8" ht="14.1" customHeight="1">
      <c r="A25" s="1418">
        <f>Bilanouverture!A25</f>
        <v>2831</v>
      </c>
      <c r="B25" s="1418" t="str">
        <f>Bilanouverture!B25</f>
        <v>Amort. bâtim. industriels. sol propre</v>
      </c>
      <c r="C25" s="1566"/>
      <c r="D25" s="1565">
        <f>Bilanouverture!D25-Balance!E93</f>
        <v>1000</v>
      </c>
      <c r="E25" s="1411">
        <f>C24-D25</f>
        <v>79000</v>
      </c>
      <c r="F25" s="1418">
        <f>Bilanouverture!F25</f>
        <v>121</v>
      </c>
      <c r="G25" s="1418" t="str">
        <f>Bilanouverture!G25</f>
        <v>Report à nouveau créditeur (+)</v>
      </c>
      <c r="H25" s="1517">
        <f>Bilanouverture!H25-Balance!E20</f>
        <v>0</v>
      </c>
    </row>
    <row r="26" spans="1:8" ht="14.1" customHeight="1">
      <c r="A26" s="1418">
        <f>Bilanouverture!A26</f>
        <v>232</v>
      </c>
      <c r="B26" s="1418" t="str">
        <f>Bilanouverture!B26</f>
        <v>Bâtiments sur sol d'autrui</v>
      </c>
      <c r="C26" s="1564">
        <f>Bilanouverture!C26+Balance!E94</f>
        <v>20000</v>
      </c>
      <c r="D26" s="1565"/>
      <c r="E26" s="1410"/>
      <c r="F26" s="1418">
        <f>Bilanouverture!F26</f>
        <v>129</v>
      </c>
      <c r="G26" s="1418" t="str">
        <f>Bilanouverture!G26</f>
        <v>Report à nouveau débiteur(-)</v>
      </c>
      <c r="H26" s="1517">
        <f>Bilanouverture!H26-Balance!E21</f>
        <v>0</v>
      </c>
    </row>
    <row r="27" spans="1:8" ht="14.1" customHeight="1">
      <c r="A27" s="1418">
        <f>Bilanouverture!A27</f>
        <v>2832</v>
      </c>
      <c r="B27" s="1418" t="str">
        <f>Bilanouverture!B27</f>
        <v>Amort. bâtiments. industriels. sol autrui</v>
      </c>
      <c r="C27" s="1566"/>
      <c r="D27" s="1565">
        <f>Bilanouverture!D27-Balance!E95</f>
        <v>1000</v>
      </c>
      <c r="E27" s="1411">
        <f t="shared" ref="E27" si="7">C26-D27</f>
        <v>19000</v>
      </c>
      <c r="F27" s="1412"/>
      <c r="G27" s="1413" t="s">
        <v>1357</v>
      </c>
      <c r="H27" s="1414">
        <f>SUM(H28:H29)</f>
        <v>91643.586497890297</v>
      </c>
    </row>
    <row r="28" spans="1:8" ht="14.1" customHeight="1">
      <c r="A28" s="1418">
        <f>Bilanouverture!A28</f>
        <v>233</v>
      </c>
      <c r="B28" s="1418" t="str">
        <f>Bilanouverture!B28</f>
        <v>Ouvrages d'infrastructure</v>
      </c>
      <c r="C28" s="1564">
        <f>Bilanouverture!C28+Balance!E96</f>
        <v>20000</v>
      </c>
      <c r="D28" s="1565"/>
      <c r="E28" s="1410"/>
      <c r="F28" s="1420">
        <f>Bilanouverture!F28</f>
        <v>131</v>
      </c>
      <c r="G28" s="1522" t="str">
        <f>Bilanouverture!G28</f>
        <v>Résultat de l'exercice bénéfice/perte</v>
      </c>
      <c r="H28" s="1520">
        <f>Résultat!C127</f>
        <v>91643.586497890297</v>
      </c>
    </row>
    <row r="29" spans="1:8" ht="14.1" customHeight="1">
      <c r="A29" s="1418">
        <f>Bilanouverture!A29</f>
        <v>2833</v>
      </c>
      <c r="B29" s="1418" t="str">
        <f>Bilanouverture!B29</f>
        <v>Amortissements. : ouvrages infrastructure</v>
      </c>
      <c r="C29" s="1566"/>
      <c r="D29" s="1565">
        <f>Bilanouverture!D29-Balance!E97</f>
        <v>1000</v>
      </c>
      <c r="E29" s="1411">
        <f t="shared" ref="E29" si="8">C28-D29</f>
        <v>19000</v>
      </c>
      <c r="F29" s="1420">
        <f>Bilanouverture!F29</f>
        <v>139</v>
      </c>
      <c r="G29" s="1420" t="str">
        <f>Bilanouverture!G29</f>
        <v>Résultat en attente d'affectation</v>
      </c>
      <c r="H29" s="1517">
        <f>Bilanouverture!H29-Balance!E23</f>
        <v>0</v>
      </c>
    </row>
    <row r="30" spans="1:8" ht="14.1" customHeight="1">
      <c r="A30" s="1418">
        <f>Bilanouverture!A30</f>
        <v>234</v>
      </c>
      <c r="B30" s="1418" t="str">
        <f>Bilanouverture!B30</f>
        <v>Installations techniques</v>
      </c>
      <c r="C30" s="1564">
        <f>Bilanouverture!C30+Balance!E98</f>
        <v>20000</v>
      </c>
      <c r="D30" s="1565"/>
      <c r="E30" s="1410"/>
      <c r="F30" s="1412"/>
      <c r="G30" s="1413" t="s">
        <v>1607</v>
      </c>
      <c r="H30" s="1414">
        <f>SUM(H31,H32)</f>
        <v>0</v>
      </c>
    </row>
    <row r="31" spans="1:8" ht="14.1" customHeight="1">
      <c r="A31" s="1418">
        <f>Bilanouverture!A31</f>
        <v>2834</v>
      </c>
      <c r="B31" s="1418" t="str">
        <f>Bilanouverture!B31</f>
        <v>Amort. : installations. techniques</v>
      </c>
      <c r="C31" s="1566"/>
      <c r="D31" s="1565">
        <f>Bilanouverture!D31-Balance!E99</f>
        <v>1000</v>
      </c>
      <c r="E31" s="1411">
        <f t="shared" ref="E31" si="9">C30-D31</f>
        <v>19000</v>
      </c>
      <c r="F31" s="1421">
        <f>Bilanouverture!F31</f>
        <v>140</v>
      </c>
      <c r="G31" s="1421" t="str">
        <f>Bilanouverture!G31</f>
        <v>Subventions d'investissement</v>
      </c>
      <c r="H31" s="1517">
        <f>Bilanouverture!H31-Balance!E28</f>
        <v>0</v>
      </c>
    </row>
    <row r="32" spans="1:8" ht="14.1" customHeight="1">
      <c r="A32" s="1418">
        <f>Bilanouverture!A32</f>
        <v>235</v>
      </c>
      <c r="B32" s="1418" t="str">
        <f>Bilanouverture!B32</f>
        <v>Aménagement de bureaux</v>
      </c>
      <c r="C32" s="1564">
        <f>Bilanouverture!C32+Balance!E100</f>
        <v>20000</v>
      </c>
      <c r="D32" s="1565"/>
      <c r="E32" s="1410"/>
      <c r="F32" s="1421">
        <f>Bilanouverture!F32</f>
        <v>150</v>
      </c>
      <c r="G32" s="1421" t="str">
        <f>Bilanouverture!G32</f>
        <v>Provisions réglementées et fonds assimilés</v>
      </c>
      <c r="H32" s="1517">
        <f>Bilanouverture!H32-Balance!E29</f>
        <v>0</v>
      </c>
    </row>
    <row r="33" spans="1:8" ht="14.1" customHeight="1">
      <c r="A33" s="1418">
        <f>Bilanouverture!A33</f>
        <v>2835</v>
      </c>
      <c r="B33" s="1418" t="str">
        <f>Bilanouverture!B33</f>
        <v>Amortissements. : aménagement. bureaux</v>
      </c>
      <c r="C33" s="1566"/>
      <c r="D33" s="1565">
        <f>Bilanouverture!D33-Balance!E101</f>
        <v>1000</v>
      </c>
      <c r="E33" s="1411">
        <f t="shared" ref="E33" si="10">C32-D33</f>
        <v>19000</v>
      </c>
      <c r="F33" s="1411"/>
      <c r="G33" s="1422" t="s">
        <v>184</v>
      </c>
      <c r="H33" s="1422">
        <f>SUM(H6,H14,H20,H27,H30)</f>
        <v>90243.586497890297</v>
      </c>
    </row>
    <row r="34" spans="1:8" ht="14.1" customHeight="1">
      <c r="A34" s="1418">
        <f>Bilanouverture!A34</f>
        <v>241</v>
      </c>
      <c r="B34" s="1418" t="str">
        <f>Bilanouverture!B34</f>
        <v>Matériel, outillage industriel et commercial</v>
      </c>
      <c r="C34" s="1564">
        <f>Bilanouverture!C34+Balance!E102</f>
        <v>240500</v>
      </c>
      <c r="D34" s="1565"/>
      <c r="E34" s="1410"/>
      <c r="F34" s="1375"/>
      <c r="G34" s="1423"/>
      <c r="H34" s="1423"/>
    </row>
    <row r="35" spans="1:8" ht="14.1" customHeight="1">
      <c r="A35" s="1418">
        <f>Bilanouverture!A35</f>
        <v>2841</v>
      </c>
      <c r="B35" s="1418" t="str">
        <f>Bilanouverture!B35</f>
        <v>Amort. mat-outillage industriels.</v>
      </c>
      <c r="C35" s="1566"/>
      <c r="D35" s="1565">
        <f>Bilanouverture!D35-Balance!E103</f>
        <v>-9000</v>
      </c>
      <c r="E35" s="1411">
        <f t="shared" ref="E35" si="11">C34-D35</f>
        <v>249500</v>
      </c>
      <c r="F35" s="1424"/>
      <c r="G35" s="1424"/>
      <c r="H35" s="1424"/>
    </row>
    <row r="36" spans="1:8" ht="14.1" customHeight="1">
      <c r="A36" s="1418">
        <f>Bilanouverture!A36</f>
        <v>242</v>
      </c>
      <c r="B36" s="1418" t="str">
        <f>Bilanouverture!B36</f>
        <v>Matériel et outillage agricole</v>
      </c>
      <c r="C36" s="1564">
        <f>Bilanouverture!C36+Balance!E104</f>
        <v>20000</v>
      </c>
      <c r="D36" s="1565"/>
      <c r="E36" s="1410"/>
      <c r="F36" s="1423"/>
      <c r="G36" s="1423"/>
      <c r="H36" s="1423"/>
    </row>
    <row r="37" spans="1:8" ht="14.1" customHeight="1">
      <c r="A37" s="1418">
        <f>Bilanouverture!A37</f>
        <v>2842</v>
      </c>
      <c r="B37" s="1418" t="str">
        <f>Bilanouverture!B37</f>
        <v>Amort. mat-outillage agricole</v>
      </c>
      <c r="C37" s="1566"/>
      <c r="D37" s="1565">
        <f>Bilanouverture!D37-Balance!E105</f>
        <v>1000</v>
      </c>
      <c r="E37" s="1411">
        <f t="shared" ref="E37" si="12">C36-D37</f>
        <v>19000</v>
      </c>
      <c r="F37" s="1423"/>
      <c r="G37" s="1423"/>
      <c r="H37" s="1423"/>
    </row>
    <row r="38" spans="1:8" ht="14.1" customHeight="1">
      <c r="A38" s="1418">
        <f>Bilanouverture!A38</f>
        <v>243</v>
      </c>
      <c r="B38" s="1418" t="str">
        <f>Bilanouverture!B38</f>
        <v>Matériel informatique</v>
      </c>
      <c r="C38" s="1564">
        <f>Bilanouverture!C38+Balance!E106</f>
        <v>24000</v>
      </c>
      <c r="D38" s="1565"/>
      <c r="E38" s="1410"/>
      <c r="F38" s="1423"/>
      <c r="G38" s="1423"/>
      <c r="H38" s="1423"/>
    </row>
    <row r="39" spans="1:8" ht="14.1" customHeight="1">
      <c r="A39" s="1418">
        <f>Bilanouverture!A39</f>
        <v>2843</v>
      </c>
      <c r="B39" s="1418" t="str">
        <f>Bilanouverture!B39</f>
        <v>Amort. Matériel informatique</v>
      </c>
      <c r="C39" s="1566"/>
      <c r="D39" s="1565">
        <f>Bilanouverture!D39-Balance!E107</f>
        <v>0</v>
      </c>
      <c r="E39" s="1411">
        <f t="shared" ref="E39" si="13">C38-D39</f>
        <v>24000</v>
      </c>
      <c r="F39" s="1402"/>
      <c r="G39" s="1425" t="s">
        <v>1606</v>
      </c>
      <c r="H39" s="1417">
        <f>SUM(H40:H46)</f>
        <v>40000</v>
      </c>
    </row>
    <row r="40" spans="1:8" ht="14.1" customHeight="1">
      <c r="A40" s="1418">
        <f>Bilanouverture!A40</f>
        <v>244</v>
      </c>
      <c r="B40" s="1418" t="str">
        <f>Bilanouverture!B40</f>
        <v>Matériel mobilier</v>
      </c>
      <c r="C40" s="1564">
        <f>Bilanouverture!C40+Balance!E108</f>
        <v>20000</v>
      </c>
      <c r="D40" s="1565"/>
      <c r="E40" s="1410"/>
      <c r="F40" s="1426">
        <f>Bilanouverture!F40</f>
        <v>161</v>
      </c>
      <c r="G40" s="1426" t="str">
        <f>Bilanouverture!G40</f>
        <v>Emprunts obligataires</v>
      </c>
      <c r="H40" s="1517">
        <f>Bilanouverture!H40-Balance!E26</f>
        <v>0</v>
      </c>
    </row>
    <row r="41" spans="1:8" ht="14.1" customHeight="1">
      <c r="A41" s="1418">
        <f>Bilanouverture!A41</f>
        <v>2844</v>
      </c>
      <c r="B41" s="1418" t="str">
        <f>Bilanouverture!B41</f>
        <v>Amortissement mobilier</v>
      </c>
      <c r="C41" s="1566"/>
      <c r="D41" s="1565">
        <f>Bilanouverture!D41-Balance!E109</f>
        <v>1000</v>
      </c>
      <c r="E41" s="1411">
        <f t="shared" ref="E41" si="14">C40-D41</f>
        <v>19000</v>
      </c>
      <c r="F41" s="1426">
        <f>Bilanouverture!F41</f>
        <v>162</v>
      </c>
      <c r="G41" s="1426" t="str">
        <f>Bilanouverture!G41</f>
        <v>Emprunts auprès des établissement de crédit</v>
      </c>
      <c r="H41" s="1517">
        <f>Bilanouverture!H41-Balance!E27</f>
        <v>40000</v>
      </c>
    </row>
    <row r="42" spans="1:8" ht="14.1" customHeight="1">
      <c r="A42" s="1418">
        <f>Bilanouverture!A42</f>
        <v>245</v>
      </c>
      <c r="B42" s="1418" t="str">
        <f>Bilanouverture!B42</f>
        <v>Matériel de transport</v>
      </c>
      <c r="C42" s="1564">
        <f>Bilanouverture!C42+Balance!E110</f>
        <v>20000</v>
      </c>
      <c r="D42" s="1565"/>
      <c r="E42" s="1410"/>
      <c r="F42" s="1426">
        <f>Bilanouverture!F42</f>
        <v>164</v>
      </c>
      <c r="G42" s="1426" t="str">
        <f>Bilanouverture!G42</f>
        <v>Avances et divers acomptes reçues</v>
      </c>
      <c r="H42" s="1517">
        <f>Bilanouverture!H42-Balance!E28</f>
        <v>0</v>
      </c>
    </row>
    <row r="43" spans="1:8" ht="14.1" customHeight="1">
      <c r="A43" s="1418">
        <f>Bilanouverture!A43</f>
        <v>2845</v>
      </c>
      <c r="B43" s="1418" t="str">
        <f>Bilanouverture!B43</f>
        <v>Amortissement matériel transport</v>
      </c>
      <c r="C43" s="1566"/>
      <c r="D43" s="1565">
        <f>Bilanouverture!D43-Balance!E111</f>
        <v>1000</v>
      </c>
      <c r="E43" s="1411">
        <f t="shared" ref="E43" si="15">C42-D43</f>
        <v>19000</v>
      </c>
      <c r="F43" s="1426">
        <f>Bilanouverture!F43</f>
        <v>165</v>
      </c>
      <c r="G43" s="1426" t="str">
        <f>Bilanouverture!G43</f>
        <v>Divers cautionnements reçus</v>
      </c>
      <c r="H43" s="1517">
        <f>Bilanouverture!H43-Balance!E29</f>
        <v>0</v>
      </c>
    </row>
    <row r="44" spans="1:8" ht="14.1" customHeight="1">
      <c r="A44" s="1418">
        <f>Bilanouverture!A44</f>
        <v>246</v>
      </c>
      <c r="B44" s="1418" t="str">
        <f>Bilanouverture!B44</f>
        <v>Immobilisations. animales, agricoles</v>
      </c>
      <c r="C44" s="1564">
        <f>Bilanouverture!C44+Balance!E112</f>
        <v>20000</v>
      </c>
      <c r="D44" s="1565"/>
      <c r="E44" s="1410"/>
      <c r="F44" s="1426">
        <f>Bilanouverture!F44</f>
        <v>166</v>
      </c>
      <c r="G44" s="1426" t="str">
        <f>Bilanouverture!G44</f>
        <v>Intérêt couru sur emprunts obligataires</v>
      </c>
      <c r="H44" s="1517">
        <f>Bilanouverture!H44-Balance!E30</f>
        <v>0</v>
      </c>
    </row>
    <row r="45" spans="1:8" ht="14.1" customHeight="1">
      <c r="A45" s="1418">
        <f>Bilanouverture!A45</f>
        <v>2846</v>
      </c>
      <c r="B45" s="1418" t="str">
        <f>Bilanouverture!B45</f>
        <v>Amort. : immobilisations. animales, agric.</v>
      </c>
      <c r="C45" s="1566"/>
      <c r="D45" s="1565">
        <f>Bilanouverture!D45-Balance!E113</f>
        <v>1000</v>
      </c>
      <c r="E45" s="1411">
        <f t="shared" ref="E45" si="16">C44-D45</f>
        <v>19000</v>
      </c>
      <c r="F45" s="1426">
        <f>Bilanouverture!F45</f>
        <v>170</v>
      </c>
      <c r="G45" s="1426" t="str">
        <f>Bilanouverture!G45</f>
        <v>Dettes de crédit-bail et contrats assimilés</v>
      </c>
      <c r="H45" s="1517">
        <f>Bilanouverture!H45-Balance!E31</f>
        <v>0</v>
      </c>
    </row>
    <row r="46" spans="1:8" ht="14.1" customHeight="1">
      <c r="A46" s="1418">
        <f>Bilanouverture!A46</f>
        <v>249</v>
      </c>
      <c r="B46" s="1418" t="str">
        <f>Bilanouverture!B46</f>
        <v>Autres immobilisations corporelles en cours</v>
      </c>
      <c r="C46" s="1564">
        <f>Bilanouverture!C46+Balance!E114</f>
        <v>20000</v>
      </c>
      <c r="D46" s="1565"/>
      <c r="E46" s="1410"/>
      <c r="F46" s="1426">
        <f>Bilanouverture!F46</f>
        <v>184</v>
      </c>
      <c r="G46" s="1426" t="str">
        <f>Bilanouverture!G46</f>
        <v>Autres dettes financières diverses</v>
      </c>
      <c r="H46" s="1517">
        <f>Bilanouverture!H46-Balance!E32</f>
        <v>0</v>
      </c>
    </row>
    <row r="47" spans="1:8" ht="14.1" customHeight="1">
      <c r="A47" s="1418">
        <f>Bilanouverture!A47</f>
        <v>2849</v>
      </c>
      <c r="B47" s="1418" t="str">
        <f>Bilanouverture!B47</f>
        <v>Amortissements. : autres immobilisations corporelles en cours</v>
      </c>
      <c r="C47" s="1566"/>
      <c r="D47" s="1565">
        <f>Bilanouverture!D47-Balance!E115</f>
        <v>1000</v>
      </c>
      <c r="E47" s="1411">
        <f t="shared" ref="E47" si="17">C46-D47</f>
        <v>19000</v>
      </c>
      <c r="F47" s="1402"/>
      <c r="G47" s="1427" t="s">
        <v>1613</v>
      </c>
      <c r="H47" s="1417">
        <f>SUM(H48:H55)</f>
        <v>0</v>
      </c>
    </row>
    <row r="48" spans="1:8" ht="14.1" customHeight="1">
      <c r="A48" s="1418">
        <f>Bilanouverture!A48</f>
        <v>250</v>
      </c>
      <c r="B48" s="1418" t="str">
        <f>Bilanouverture!B48</f>
        <v>Avances, acomptes versés sur immobilisations</v>
      </c>
      <c r="C48" s="1564">
        <f>Bilanouverture!C48+Balance!E116</f>
        <v>0</v>
      </c>
      <c r="D48" s="1564"/>
      <c r="E48" s="1419">
        <f>C48-D48</f>
        <v>0</v>
      </c>
      <c r="F48" s="1407">
        <f>Bilanouverture!F48</f>
        <v>191</v>
      </c>
      <c r="G48" s="1407" t="str">
        <f>Bilanouverture!G48</f>
        <v>Provision pour litiges</v>
      </c>
      <c r="H48" s="1517">
        <f>Bilanouverture!H48-Balance!E33</f>
        <v>0</v>
      </c>
    </row>
    <row r="49" spans="1:8" ht="14.1" customHeight="1">
      <c r="A49" s="1405" t="s">
        <v>185</v>
      </c>
      <c r="B49" s="1403"/>
      <c r="C49" s="1374">
        <f>SUM(C50:C56)</f>
        <v>99600</v>
      </c>
      <c r="D49" s="1374">
        <f>SUM(D50:D56)</f>
        <v>0</v>
      </c>
      <c r="E49" s="1374">
        <f t="shared" ref="E49" si="18">SUM(E50:E56)</f>
        <v>99600</v>
      </c>
      <c r="F49" s="1407">
        <f>Bilanouverture!F49</f>
        <v>192</v>
      </c>
      <c r="G49" s="1407" t="str">
        <f>Bilanouverture!G49</f>
        <v>Provision pour pertes  créances clients</v>
      </c>
      <c r="H49" s="1517">
        <f>Bilanouverture!H49-Balance!E34</f>
        <v>0</v>
      </c>
    </row>
    <row r="50" spans="1:8" ht="14.1" customHeight="1">
      <c r="A50" s="1418">
        <f>Bilanouverture!A50</f>
        <v>260</v>
      </c>
      <c r="B50" s="1418" t="str">
        <f>Bilanouverture!B50</f>
        <v xml:space="preserve"> Participations</v>
      </c>
      <c r="C50" s="1517">
        <f>Bilanouverture!C50+Balance!E117</f>
        <v>-1000</v>
      </c>
      <c r="D50" s="1517"/>
      <c r="E50" s="1419">
        <f>C50-D50</f>
        <v>-1000</v>
      </c>
      <c r="F50" s="1407">
        <f>Bilanouverture!F50</f>
        <v>194</v>
      </c>
      <c r="G50" s="1407" t="str">
        <f>Bilanouverture!G50</f>
        <v>Provision pour pertes de change</v>
      </c>
      <c r="H50" s="1517">
        <f>Bilanouverture!H50-Balance!E35</f>
        <v>0</v>
      </c>
    </row>
    <row r="51" spans="1:8" ht="14.1" customHeight="1">
      <c r="A51" s="1418">
        <f>Bilanouverture!A51</f>
        <v>266</v>
      </c>
      <c r="B51" s="1418" t="str">
        <f>Bilanouverture!B51</f>
        <v xml:space="preserve"> Créances rattachées à des participations</v>
      </c>
      <c r="C51" s="1517">
        <f>Bilanouverture!C51+Balance!E118</f>
        <v>200</v>
      </c>
      <c r="D51" s="1517"/>
      <c r="E51" s="1419">
        <f t="shared" ref="E51:E56" si="19">C51-D51</f>
        <v>200</v>
      </c>
      <c r="F51" s="1407">
        <f>Bilanouverture!F51</f>
        <v>195</v>
      </c>
      <c r="G51" s="1407" t="str">
        <f>Bilanouverture!G51</f>
        <v>Provision pour impôt</v>
      </c>
      <c r="H51" s="1517">
        <f>Bilanouverture!H51-Balance!E36</f>
        <v>0</v>
      </c>
    </row>
    <row r="52" spans="1:8" ht="14.1" customHeight="1">
      <c r="A52" s="1418">
        <f>Bilanouverture!A52</f>
        <v>271</v>
      </c>
      <c r="B52" s="1418" t="str">
        <f>Bilanouverture!B52</f>
        <v>Titres immobilisés actions</v>
      </c>
      <c r="C52" s="1517">
        <f>Bilanouverture!C52+Balance!E119</f>
        <v>0</v>
      </c>
      <c r="D52" s="1517"/>
      <c r="E52" s="1419">
        <f t="shared" si="19"/>
        <v>0</v>
      </c>
      <c r="F52" s="1407">
        <f>Bilanouverture!F52</f>
        <v>197</v>
      </c>
      <c r="G52" s="1407" t="str">
        <f>Bilanouverture!G52</f>
        <v>Provision pour charges à repartir sur plusieurs exercices</v>
      </c>
      <c r="H52" s="1517">
        <f>Bilanouverture!H52-Balance!E37</f>
        <v>0</v>
      </c>
    </row>
    <row r="53" spans="1:8" ht="14.1" customHeight="1">
      <c r="A53" s="1418">
        <f>Bilanouverture!A53</f>
        <v>272</v>
      </c>
      <c r="B53" s="1418" t="str">
        <f>Bilanouverture!B53</f>
        <v>Titres immobilisés obligations</v>
      </c>
      <c r="C53" s="1517">
        <f>Bilanouverture!C53+Balance!E120</f>
        <v>10000</v>
      </c>
      <c r="D53" s="1517"/>
      <c r="E53" s="1419">
        <f t="shared" si="19"/>
        <v>10000</v>
      </c>
      <c r="F53" s="1407">
        <f>Bilanouverture!F53</f>
        <v>1971</v>
      </c>
      <c r="G53" s="1407" t="str">
        <f>Bilanouverture!G53</f>
        <v>Provisions pour grosses réparations</v>
      </c>
      <c r="H53" s="1517">
        <f>Bilanouverture!H53-Balance!E38</f>
        <v>0</v>
      </c>
    </row>
    <row r="54" spans="1:8" ht="14.1" customHeight="1">
      <c r="A54" s="1418">
        <f>Bilanouverture!A54</f>
        <v>274</v>
      </c>
      <c r="B54" s="1418" t="str">
        <f>Bilanouverture!B54</f>
        <v xml:space="preserve"> Prêts consentits par l'entreprise</v>
      </c>
      <c r="C54" s="1517">
        <f>Bilanouverture!C54+Balance!E121</f>
        <v>0</v>
      </c>
      <c r="D54" s="1517"/>
      <c r="E54" s="1419">
        <f t="shared" si="19"/>
        <v>0</v>
      </c>
      <c r="F54" s="1407">
        <f>Bilanouverture!F54</f>
        <v>1981</v>
      </c>
      <c r="G54" s="1407" t="str">
        <f>Bilanouverture!G54</f>
        <v>Provisions pour amendes et pénalités</v>
      </c>
      <c r="H54" s="1517">
        <f>Bilanouverture!H54-Balance!E39</f>
        <v>0</v>
      </c>
    </row>
    <row r="55" spans="1:8" ht="14.1" customHeight="1">
      <c r="A55" s="1418">
        <f>Bilanouverture!A55</f>
        <v>275</v>
      </c>
      <c r="B55" s="1418" t="str">
        <f>Bilanouverture!B55</f>
        <v>Dépôt et Cautionnement versé par l'entreprise</v>
      </c>
      <c r="C55" s="1517">
        <f>Bilanouverture!C55+Balance!E122</f>
        <v>0</v>
      </c>
      <c r="D55" s="1517"/>
      <c r="E55" s="1419">
        <f t="shared" si="19"/>
        <v>0</v>
      </c>
      <c r="F55" s="1407">
        <f>Bilanouverture!F55</f>
        <v>1982</v>
      </c>
      <c r="G55" s="1407" t="str">
        <f>Bilanouverture!G55</f>
        <v>Provisions sur des immobilisations</v>
      </c>
      <c r="H55" s="1517">
        <f>Bilanouverture!H55-Balance!E40</f>
        <v>0</v>
      </c>
    </row>
    <row r="56" spans="1:8" ht="14.1" customHeight="1">
      <c r="A56" s="1418">
        <f>Bilanouverture!A56</f>
        <v>279</v>
      </c>
      <c r="B56" s="1418" t="str">
        <f>Bilanouverture!B56</f>
        <v xml:space="preserve"> Autres créances</v>
      </c>
      <c r="C56" s="1517">
        <f>Bilanouverture!C56+Balance!E123</f>
        <v>90400</v>
      </c>
      <c r="D56" s="1517"/>
      <c r="E56" s="1419">
        <f t="shared" si="19"/>
        <v>90400</v>
      </c>
      <c r="F56" s="1407"/>
      <c r="G56" s="1428"/>
      <c r="H56" s="1429"/>
    </row>
    <row r="57" spans="1:8" ht="14.1" customHeight="1">
      <c r="A57" s="1430"/>
      <c r="B57" s="1431" t="s">
        <v>184</v>
      </c>
      <c r="C57" s="1376">
        <f>SUM(C7,C22,C49)</f>
        <v>679100</v>
      </c>
      <c r="D57" s="1376">
        <f>SUM(D7,D22,D49)</f>
        <v>4000</v>
      </c>
      <c r="E57" s="1378">
        <f>SUM(E7,E22,E49)</f>
        <v>675100</v>
      </c>
      <c r="F57" s="1432"/>
      <c r="G57" s="1431" t="s">
        <v>186</v>
      </c>
      <c r="H57" s="1376">
        <f>SUM(H39,H47)</f>
        <v>40000</v>
      </c>
    </row>
    <row r="58" spans="1:8" ht="14.1" customHeight="1">
      <c r="A58" s="1433"/>
      <c r="B58" s="1434" t="s">
        <v>187</v>
      </c>
      <c r="C58" s="1377"/>
      <c r="D58" s="1377"/>
      <c r="E58" s="1435"/>
      <c r="F58" s="1436"/>
      <c r="G58" s="1434" t="s">
        <v>1614</v>
      </c>
      <c r="H58" s="1377"/>
    </row>
    <row r="59" spans="1:8" ht="14.1" customHeight="1">
      <c r="A59" s="1405" t="s">
        <v>188</v>
      </c>
      <c r="B59" s="1403"/>
      <c r="C59" s="1374">
        <f>SUM(C60:C65)</f>
        <v>-39000</v>
      </c>
      <c r="D59" s="1374">
        <f>SUM(D60:D65)</f>
        <v>0</v>
      </c>
      <c r="E59" s="1374">
        <f>SUM(E60:E65)</f>
        <v>-39000</v>
      </c>
      <c r="F59" s="1437"/>
      <c r="G59" s="1438" t="s">
        <v>1615</v>
      </c>
      <c r="H59" s="1439">
        <f>SUM(H60:H69)</f>
        <v>-33240</v>
      </c>
    </row>
    <row r="60" spans="1:8" ht="14.1" customHeight="1">
      <c r="A60" s="1440">
        <f>Bilanouverture!A60</f>
        <v>310</v>
      </c>
      <c r="B60" s="1440" t="str">
        <f>Bilanouverture!B60</f>
        <v xml:space="preserve">Marchandises </v>
      </c>
      <c r="C60" s="1517">
        <f>Bilanouverture!C60+Balance!E124</f>
        <v>-20000</v>
      </c>
      <c r="D60" s="1517"/>
      <c r="E60" s="1419">
        <f>C60-D60</f>
        <v>-20000</v>
      </c>
      <c r="F60" s="1407">
        <f>Bilanouverture!F60</f>
        <v>4011</v>
      </c>
      <c r="G60" s="1407" t="str">
        <f>Bilanouverture!G60</f>
        <v>Fournisseurs</v>
      </c>
      <c r="H60" s="1517">
        <f>Bilanouverture!H60-Balance!E41</f>
        <v>564460</v>
      </c>
    </row>
    <row r="61" spans="1:8" ht="14.1" customHeight="1">
      <c r="A61" s="1440">
        <f>Bilanouverture!A61</f>
        <v>320</v>
      </c>
      <c r="B61" s="1440" t="str">
        <f>Bilanouverture!B61</f>
        <v>Matières premières, fournitures</v>
      </c>
      <c r="C61" s="1517">
        <f>Bilanouverture!C61+Balance!E125</f>
        <v>0</v>
      </c>
      <c r="D61" s="1517"/>
      <c r="E61" s="1419">
        <f t="shared" ref="E61:E65" si="20">C61-D61</f>
        <v>0</v>
      </c>
      <c r="F61" s="1407">
        <f>Bilanouverture!F61</f>
        <v>4012</v>
      </c>
      <c r="G61" s="1407" t="str">
        <f>Bilanouverture!G61</f>
        <v>Fournisseurs étrangers</v>
      </c>
      <c r="H61" s="1517">
        <f>Bilanouverture!H61-Balance!E42</f>
        <v>-597700</v>
      </c>
    </row>
    <row r="62" spans="1:8" ht="14.1" customHeight="1">
      <c r="A62" s="1440">
        <f>Bilanouverture!A62</f>
        <v>330</v>
      </c>
      <c r="B62" s="1440" t="str">
        <f>Bilanouverture!B62</f>
        <v>Autres approvisionnements, emballage récup</v>
      </c>
      <c r="C62" s="1517">
        <f>Bilanouverture!C62+Balance!E126</f>
        <v>0</v>
      </c>
      <c r="D62" s="1517"/>
      <c r="E62" s="1419">
        <f t="shared" si="20"/>
        <v>0</v>
      </c>
      <c r="F62" s="1407">
        <f>Bilanouverture!F62</f>
        <v>4021</v>
      </c>
      <c r="G62" s="1407" t="str">
        <f>Bilanouverture!G62</f>
        <v>Fournisseurs, Effets à payer</v>
      </c>
      <c r="H62" s="1517">
        <f>Bilanouverture!H62-Balance!E43</f>
        <v>0</v>
      </c>
    </row>
    <row r="63" spans="1:8" ht="14.1" customHeight="1">
      <c r="A63" s="1440">
        <f>Bilanouverture!A63</f>
        <v>340</v>
      </c>
      <c r="B63" s="1440" t="str">
        <f>Bilanouverture!B63</f>
        <v>En-cours de produits</v>
      </c>
      <c r="C63" s="1517">
        <f>Bilanouverture!C63+Balance!E127</f>
        <v>-10000</v>
      </c>
      <c r="D63" s="1517"/>
      <c r="E63" s="1419">
        <f t="shared" si="20"/>
        <v>-10000</v>
      </c>
      <c r="F63" s="1407">
        <f>Bilanouverture!F63</f>
        <v>4022</v>
      </c>
      <c r="G63" s="1407" t="str">
        <f>Bilanouverture!G63</f>
        <v>Fournisseurs – étranger Effets à payer</v>
      </c>
      <c r="H63" s="1517">
        <f>Bilanouverture!H63-Balance!E44</f>
        <v>0</v>
      </c>
    </row>
    <row r="64" spans="1:8" ht="14.1" customHeight="1">
      <c r="A64" s="1440">
        <f>Bilanouverture!A64</f>
        <v>361</v>
      </c>
      <c r="B64" s="1440" t="str">
        <f>Bilanouverture!B64</f>
        <v>Stock de produits finis</v>
      </c>
      <c r="C64" s="1517">
        <f>Bilanouverture!C64+Balance!E128</f>
        <v>1000</v>
      </c>
      <c r="D64" s="1517"/>
      <c r="E64" s="1419">
        <f t="shared" si="20"/>
        <v>1000</v>
      </c>
      <c r="F64" s="1407">
        <f>Bilanouverture!F64</f>
        <v>4081</v>
      </c>
      <c r="G64" s="1407" t="str">
        <f>Bilanouverture!G64</f>
        <v>Fournisseurs  facture non parvenues</v>
      </c>
      <c r="H64" s="1517">
        <f>Bilanouverture!H64-Balance!E45</f>
        <v>0</v>
      </c>
    </row>
    <row r="65" spans="1:8" ht="14.1" customHeight="1">
      <c r="A65" s="1440">
        <f>Bilanouverture!A65</f>
        <v>370</v>
      </c>
      <c r="B65" s="1440" t="str">
        <f>Bilanouverture!B65</f>
        <v>Produits intermèdiaires., résiduels</v>
      </c>
      <c r="C65" s="1517">
        <f>Bilanouverture!C65+Balance!E129</f>
        <v>-10000</v>
      </c>
      <c r="D65" s="1517"/>
      <c r="E65" s="1419">
        <f t="shared" si="20"/>
        <v>-10000</v>
      </c>
      <c r="F65" s="1407">
        <f>Bilanouverture!F65</f>
        <v>4086</v>
      </c>
      <c r="G65" s="1407" t="str">
        <f>Bilanouverture!G65</f>
        <v>Fournisseurs, intérêts courus</v>
      </c>
      <c r="H65" s="1517">
        <f>Bilanouverture!H65-Balance!E46</f>
        <v>0</v>
      </c>
    </row>
    <row r="66" spans="1:8" ht="14.1" customHeight="1">
      <c r="A66" s="1405" t="s">
        <v>0</v>
      </c>
      <c r="B66" s="1403"/>
      <c r="C66" s="1374">
        <f>SUM(C67:C84)</f>
        <v>1229118</v>
      </c>
      <c r="D66" s="1374">
        <f>SUM(D67:D84)</f>
        <v>0</v>
      </c>
      <c r="E66" s="1374">
        <f>SUM(E67:E84)</f>
        <v>1229118</v>
      </c>
      <c r="F66" s="1407">
        <f>Bilanouverture!F66</f>
        <v>4091</v>
      </c>
      <c r="G66" s="1407" t="str">
        <f>Bilanouverture!G66</f>
        <v>Fournisseurs avances et acomptes versés</v>
      </c>
      <c r="H66" s="1517">
        <f>Bilanouverture!H66-Balance!E47</f>
        <v>0</v>
      </c>
    </row>
    <row r="67" spans="1:8" ht="14.1" customHeight="1">
      <c r="A67" s="1440">
        <f>Bilanouverture!A67</f>
        <v>411</v>
      </c>
      <c r="B67" s="1440" t="str">
        <f>Bilanouverture!B67</f>
        <v>Clients</v>
      </c>
      <c r="C67" s="1517">
        <f>Bilanouverture!C67+Balance!E130</f>
        <v>1105598</v>
      </c>
      <c r="D67" s="1517"/>
      <c r="E67" s="1419">
        <f>C67-D67</f>
        <v>1105598</v>
      </c>
      <c r="F67" s="1407">
        <f>Bilanouverture!F67</f>
        <v>4094</v>
      </c>
      <c r="G67" s="1407" t="str">
        <f>Bilanouverture!G67</f>
        <v>Fournisseurs créances pour emballages et matériels à rendre</v>
      </c>
      <c r="H67" s="1517">
        <f>Bilanouverture!H67-Balance!E48</f>
        <v>0</v>
      </c>
    </row>
    <row r="68" spans="1:8" ht="14.1" customHeight="1">
      <c r="A68" s="1440">
        <f>Bilanouverture!A68</f>
        <v>4115</v>
      </c>
      <c r="B68" s="1440" t="str">
        <f>Bilanouverture!B68</f>
        <v>client et organismes étrangers</v>
      </c>
      <c r="C68" s="1517">
        <f>Bilanouverture!C68+Balance!E131</f>
        <v>62820</v>
      </c>
      <c r="D68" s="1517"/>
      <c r="E68" s="1419">
        <f t="shared" ref="E68:E84" si="21">C68-D68</f>
        <v>62820</v>
      </c>
      <c r="F68" s="1407">
        <f>Bilanouverture!F68</f>
        <v>4098</v>
      </c>
      <c r="G68" s="1407" t="str">
        <f>Bilanouverture!G68</f>
        <v>Rabais, Remises, Ristournes et autres avoirs à obtenir</v>
      </c>
      <c r="H68" s="1517">
        <f>Bilanouverture!H68-Balance!E49</f>
        <v>0</v>
      </c>
    </row>
    <row r="69" spans="1:8" ht="14.1" customHeight="1">
      <c r="A69" s="1440">
        <f>Bilanouverture!A69</f>
        <v>412</v>
      </c>
      <c r="B69" s="1440" t="str">
        <f>Bilanouverture!B69</f>
        <v>Clients, effets à recevoir</v>
      </c>
      <c r="C69" s="1517">
        <f>Bilanouverture!C69+Balance!E132</f>
        <v>500</v>
      </c>
      <c r="D69" s="1517"/>
      <c r="E69" s="1419">
        <f t="shared" si="21"/>
        <v>500</v>
      </c>
      <c r="F69" s="1407"/>
      <c r="G69" s="1428"/>
      <c r="H69" s="1429"/>
    </row>
    <row r="70" spans="1:8" ht="14.1" customHeight="1">
      <c r="A70" s="1440">
        <f>Bilanouverture!A70</f>
        <v>414</v>
      </c>
      <c r="B70" s="1440" t="str">
        <f>Bilanouverture!B70</f>
        <v>Créances Cessions. courantes immobilisations.</v>
      </c>
      <c r="C70" s="1517">
        <f>Bilanouverture!C70+Balance!E133</f>
        <v>0</v>
      </c>
      <c r="D70" s="1517"/>
      <c r="E70" s="1419">
        <f t="shared" si="21"/>
        <v>0</v>
      </c>
      <c r="F70" s="1412"/>
      <c r="G70" s="1413" t="s">
        <v>500</v>
      </c>
      <c r="H70" s="1441">
        <f>SUM(H71:H90)</f>
        <v>179319.4135021097</v>
      </c>
    </row>
    <row r="71" spans="1:8" ht="14.1" customHeight="1">
      <c r="A71" s="1440">
        <f>Bilanouverture!A71</f>
        <v>415</v>
      </c>
      <c r="B71" s="1440" t="str">
        <f>Bilanouverture!B71</f>
        <v>Clients effets. escomptés non échus</v>
      </c>
      <c r="C71" s="1517">
        <f>Bilanouverture!C71+Balance!E134</f>
        <v>0</v>
      </c>
      <c r="D71" s="1517"/>
      <c r="E71" s="1419">
        <f t="shared" si="21"/>
        <v>0</v>
      </c>
      <c r="F71" s="1407">
        <f>Bilanouverture!F71</f>
        <v>431</v>
      </c>
      <c r="G71" s="1407" t="str">
        <f>Bilanouverture!G71</f>
        <v>Sécurité sociale , alloc familiale, accident travail, retraite obligatoire...</v>
      </c>
      <c r="H71" s="1517">
        <f>Bilanouverture!H71-Balance!E50</f>
        <v>70000</v>
      </c>
    </row>
    <row r="72" spans="1:8" ht="14.1" customHeight="1">
      <c r="A72" s="1440">
        <f>Bilanouverture!A72</f>
        <v>416</v>
      </c>
      <c r="B72" s="1440" t="str">
        <f>Bilanouverture!B72</f>
        <v>Créances litigieuses douteuses</v>
      </c>
      <c r="C72" s="1517">
        <f>Bilanouverture!C72+Balance!E135</f>
        <v>0</v>
      </c>
      <c r="D72" s="1517"/>
      <c r="E72" s="1419">
        <f t="shared" si="21"/>
        <v>0</v>
      </c>
      <c r="F72" s="1407">
        <f>Bilanouverture!F72</f>
        <v>433</v>
      </c>
      <c r="G72" s="1407" t="str">
        <f>Bilanouverture!G72</f>
        <v>Autres organismes sociaux</v>
      </c>
      <c r="H72" s="1517">
        <f>Bilanouverture!H72-Balance!E51</f>
        <v>40000</v>
      </c>
    </row>
    <row r="73" spans="1:8" ht="14.1" customHeight="1">
      <c r="A73" s="1440">
        <f>Bilanouverture!A73</f>
        <v>418</v>
      </c>
      <c r="B73" s="1440" t="str">
        <f>Bilanouverture!B73</f>
        <v>clients debiteurs facture à etablir</v>
      </c>
      <c r="C73" s="1517">
        <f>Bilanouverture!C73+Balance!E136</f>
        <v>0</v>
      </c>
      <c r="D73" s="1517"/>
      <c r="E73" s="1419">
        <f t="shared" si="21"/>
        <v>0</v>
      </c>
      <c r="F73" s="1407">
        <f>Bilanouverture!F73</f>
        <v>438</v>
      </c>
      <c r="G73" s="1407" t="str">
        <f>Bilanouverture!G73</f>
        <v>Mutuelle , organismes. Sociaux, Autres charges à payer</v>
      </c>
      <c r="H73" s="1517">
        <f>Bilanouverture!H73-Balance!E52</f>
        <v>20000</v>
      </c>
    </row>
    <row r="74" spans="1:8" ht="14.1" customHeight="1">
      <c r="A74" s="1440">
        <f>Bilanouverture!A74</f>
        <v>419</v>
      </c>
      <c r="B74" s="1440" t="str">
        <f>Bilanouverture!B74</f>
        <v>clients  acptes et avces  reçues</v>
      </c>
      <c r="C74" s="1517">
        <f>Bilanouverture!C74+Balance!E137</f>
        <v>0</v>
      </c>
      <c r="D74" s="1517"/>
      <c r="E74" s="1419">
        <f t="shared" si="21"/>
        <v>0</v>
      </c>
      <c r="F74" s="1407">
        <f>Bilanouverture!F74</f>
        <v>465</v>
      </c>
      <c r="G74" s="1407" t="str">
        <f>Bilanouverture!G74</f>
        <v>Associés, dividendes à payer</v>
      </c>
      <c r="H74" s="1517">
        <f>Bilanouverture!H74-Balance!E53</f>
        <v>0</v>
      </c>
    </row>
    <row r="75" spans="1:8" ht="14.1" customHeight="1">
      <c r="A75" s="1440">
        <f>Bilanouverture!A75</f>
        <v>4194</v>
      </c>
      <c r="B75" s="1440" t="str">
        <f>Bilanouverture!B75</f>
        <v>Clients, dettes pour emballages et matériels consigné</v>
      </c>
      <c r="C75" s="1517">
        <f>Bilanouverture!C75+Balance!E138</f>
        <v>200</v>
      </c>
      <c r="D75" s="1517"/>
      <c r="E75" s="1419">
        <f t="shared" si="21"/>
        <v>200</v>
      </c>
      <c r="F75" s="1407">
        <f>Bilanouverture!F75</f>
        <v>4640</v>
      </c>
      <c r="G75" s="1407" t="str">
        <f>Bilanouverture!G75</f>
        <v>Dettes sur immobilisations</v>
      </c>
      <c r="H75" s="1517">
        <f>Bilanouverture!H75-Balance!E54</f>
        <v>0</v>
      </c>
    </row>
    <row r="76" spans="1:8" ht="14.1" customHeight="1">
      <c r="A76" s="1440">
        <f>Bilanouverture!A76</f>
        <v>421</v>
      </c>
      <c r="B76" s="1440" t="str">
        <f>Bilanouverture!B76</f>
        <v>Personnel, avances, acomptes salaires</v>
      </c>
      <c r="C76" s="1517">
        <f>Bilanouverture!C76+Balance!E139</f>
        <v>0</v>
      </c>
      <c r="D76" s="1517"/>
      <c r="E76" s="1419">
        <f t="shared" si="21"/>
        <v>0</v>
      </c>
      <c r="F76" s="1407">
        <f>Bilanouverture!F76</f>
        <v>4680</v>
      </c>
      <c r="G76" s="1407" t="str">
        <f>Bilanouverture!G76</f>
        <v>Autres dettes</v>
      </c>
      <c r="H76" s="1517">
        <f>Bilanouverture!H76-Balance!E55</f>
        <v>0</v>
      </c>
    </row>
    <row r="77" spans="1:8" ht="14.1" customHeight="1">
      <c r="A77" s="1440">
        <f>Bilanouverture!A77</f>
        <v>422</v>
      </c>
      <c r="B77" s="1440" t="str">
        <f>Bilanouverture!B77</f>
        <v>Personnel rémunérations dues</v>
      </c>
      <c r="C77" s="1517">
        <f>Bilanouverture!C77+Balance!E140</f>
        <v>60000</v>
      </c>
      <c r="D77" s="1517"/>
      <c r="E77" s="1419">
        <f t="shared" si="21"/>
        <v>60000</v>
      </c>
      <c r="F77" s="1407">
        <f>Bilanouverture!F77</f>
        <v>441</v>
      </c>
      <c r="G77" s="1407" t="str">
        <f>Bilanouverture!G77</f>
        <v>Etat impôt sur les bénéfices</v>
      </c>
      <c r="H77" s="1517">
        <f>Bilanouverture!H77-Balance!E56</f>
        <v>0</v>
      </c>
    </row>
    <row r="78" spans="1:8" ht="14.1" customHeight="1">
      <c r="A78" s="1440">
        <f>Bilanouverture!A78</f>
        <v>4611</v>
      </c>
      <c r="B78" s="1440" t="str">
        <f>Bilanouverture!B78</f>
        <v>Associés apports en nature</v>
      </c>
      <c r="C78" s="1517">
        <f>Bilanouverture!C78+Balance!E141</f>
        <v>0</v>
      </c>
      <c r="D78" s="1517"/>
      <c r="E78" s="1419">
        <f t="shared" si="21"/>
        <v>0</v>
      </c>
      <c r="F78" s="1407">
        <f>Bilanouverture!F78</f>
        <v>442</v>
      </c>
      <c r="G78" s="1407" t="str">
        <f>Bilanouverture!G78</f>
        <v>Etat autres impôt et taxes dont douanes</v>
      </c>
      <c r="H78" s="1517">
        <f>Bilanouverture!H78-Balance!E57</f>
        <v>0</v>
      </c>
    </row>
    <row r="79" spans="1:8" ht="14.1" customHeight="1">
      <c r="A79" s="1440">
        <f>Bilanouverture!A79</f>
        <v>4612</v>
      </c>
      <c r="B79" s="1440" t="str">
        <f>Bilanouverture!B79</f>
        <v>Associés apports en numéraire</v>
      </c>
      <c r="C79" s="1517">
        <f>Bilanouverture!C79+Balance!E142</f>
        <v>0</v>
      </c>
      <c r="D79" s="1517"/>
      <c r="E79" s="1419">
        <f t="shared" si="21"/>
        <v>0</v>
      </c>
      <c r="F79" s="1407">
        <f>Bilanouverture!F79</f>
        <v>443</v>
      </c>
      <c r="G79" s="1523" t="str">
        <f>Bilanouverture!G79</f>
        <v>Tva due</v>
      </c>
      <c r="H79" s="1520">
        <f>TVA!G40</f>
        <v>49319.413502109703</v>
      </c>
    </row>
    <row r="80" spans="1:8" ht="14.1" customHeight="1">
      <c r="A80" s="1440">
        <f>Bilanouverture!A80</f>
        <v>4613</v>
      </c>
      <c r="B80" s="1440" t="str">
        <f>Bilanouverture!B80</f>
        <v>Associés, Actionnaires, capital souscrit appelé non versé</v>
      </c>
      <c r="C80" s="1517">
        <f>Bilanouverture!C80+Balance!E143</f>
        <v>0</v>
      </c>
      <c r="D80" s="1517"/>
      <c r="E80" s="1419">
        <f t="shared" si="21"/>
        <v>0</v>
      </c>
      <c r="F80" s="1407">
        <f>Bilanouverture!F80</f>
        <v>4435</v>
      </c>
      <c r="G80" s="1407" t="str">
        <f>Bilanouverture!G80</f>
        <v>Etat tva à établir</v>
      </c>
      <c r="H80" s="1517">
        <f>Bilanouverture!H80-Balance!E59</f>
        <v>0</v>
      </c>
    </row>
    <row r="81" spans="1:8" ht="14.1" customHeight="1">
      <c r="A81" s="1440">
        <f>Bilanouverture!A81</f>
        <v>4615</v>
      </c>
      <c r="B81" s="1440" t="str">
        <f>Bilanouverture!B81</f>
        <v>Associés, versements reçus sur augmentation de capital</v>
      </c>
      <c r="C81" s="1517">
        <f>Bilanouverture!C81+Balance!E144</f>
        <v>0</v>
      </c>
      <c r="D81" s="1517"/>
      <c r="E81" s="1419">
        <f t="shared" si="21"/>
        <v>0</v>
      </c>
      <c r="F81" s="1407">
        <f>Bilanouverture!F81</f>
        <v>446</v>
      </c>
      <c r="G81" s="1407" t="str">
        <f>Bilanouverture!G81</f>
        <v>Autres taxes sur CA</v>
      </c>
      <c r="H81" s="1517">
        <f>Bilanouverture!H81-Balance!E60</f>
        <v>0</v>
      </c>
    </row>
    <row r="82" spans="1:8" ht="14.1" customHeight="1">
      <c r="A82" s="1440">
        <f>Bilanouverture!A82</f>
        <v>4618</v>
      </c>
      <c r="B82" s="1440" t="str">
        <f>Bilanouverture!B82</f>
        <v>Associés, autres apports</v>
      </c>
      <c r="C82" s="1517">
        <f>Bilanouverture!C82+Balance!E145</f>
        <v>0</v>
      </c>
      <c r="D82" s="1517"/>
      <c r="E82" s="1419">
        <f t="shared" si="21"/>
        <v>0</v>
      </c>
      <c r="F82" s="1407">
        <f>Bilanouverture!F82</f>
        <v>447</v>
      </c>
      <c r="G82" s="1407" t="str">
        <f>Bilanouverture!G82</f>
        <v>Etat impôt et autres retenues</v>
      </c>
      <c r="H82" s="1517">
        <f>Bilanouverture!H82-Balance!E61</f>
        <v>0</v>
      </c>
    </row>
    <row r="83" spans="1:8" ht="14.1" customHeight="1">
      <c r="A83" s="1440">
        <f>Bilanouverture!A83</f>
        <v>4620</v>
      </c>
      <c r="B83" s="1440" t="str">
        <f>Bilanouverture!B83</f>
        <v>Associés, compte courant</v>
      </c>
      <c r="C83" s="1517">
        <f>Bilanouverture!C83+Balance!E146</f>
        <v>0</v>
      </c>
      <c r="D83" s="1517"/>
      <c r="E83" s="1419">
        <f t="shared" si="21"/>
        <v>0</v>
      </c>
      <c r="F83" s="1407">
        <f>Bilanouverture!F83</f>
        <v>4486</v>
      </c>
      <c r="G83" s="1407" t="str">
        <f>Bilanouverture!G83</f>
        <v>Etat charges à payer</v>
      </c>
      <c r="H83" s="1517">
        <f>Bilanouverture!H83-Balance!E62</f>
        <v>0</v>
      </c>
    </row>
    <row r="84" spans="1:8" ht="14.1" customHeight="1">
      <c r="A84" s="1440" t="str">
        <f>Bilanouverture!A84</f>
        <v>4449-476</v>
      </c>
      <c r="B84" s="1440" t="str">
        <f>Bilanouverture!B84</f>
        <v>Autres créances</v>
      </c>
      <c r="C84" s="1517">
        <f>Bilanouverture!C84+Balance!E147</f>
        <v>0</v>
      </c>
      <c r="D84" s="1517"/>
      <c r="E84" s="1419">
        <f t="shared" si="21"/>
        <v>0</v>
      </c>
      <c r="F84" s="1407">
        <f>Bilanouverture!F84</f>
        <v>185</v>
      </c>
      <c r="G84" s="1407" t="str">
        <f>Bilanouverture!G84</f>
        <v>Dettes liés à des participations</v>
      </c>
      <c r="H84" s="1517">
        <f>Bilanouverture!H84-Balance!E63</f>
        <v>0</v>
      </c>
    </row>
    <row r="85" spans="1:8" ht="14.1" customHeight="1">
      <c r="A85" s="1405" t="s">
        <v>189</v>
      </c>
      <c r="B85" s="1403"/>
      <c r="C85" s="1374">
        <f>SUM(C86:C90)</f>
        <v>7000</v>
      </c>
      <c r="D85" s="1374">
        <f>SUM(D86:D90)</f>
        <v>0</v>
      </c>
      <c r="E85" s="1374">
        <f t="shared" ref="E85" si="22">SUM(E86:E90)</f>
        <v>7000</v>
      </c>
      <c r="F85" s="1407">
        <f>Bilanouverture!F85</f>
        <v>4712</v>
      </c>
      <c r="G85" s="1407" t="str">
        <f>Bilanouverture!G85</f>
        <v>Créditeurs divers</v>
      </c>
      <c r="H85" s="1517">
        <f>Bilanouverture!H85-Balance!E64</f>
        <v>0</v>
      </c>
    </row>
    <row r="86" spans="1:8" ht="14.1" customHeight="1">
      <c r="A86" s="1418">
        <f>Bilanouverture!A86</f>
        <v>501</v>
      </c>
      <c r="B86" s="1418" t="str">
        <f>Bilanouverture!B86</f>
        <v>VMP actions</v>
      </c>
      <c r="C86" s="1517">
        <f>Bilanouverture!C86+Balance!E148</f>
        <v>2000</v>
      </c>
      <c r="D86" s="1517"/>
      <c r="E86" s="1419">
        <f>C86-D86</f>
        <v>2000</v>
      </c>
      <c r="F86" s="1407">
        <f>Bilanouverture!F86</f>
        <v>4726</v>
      </c>
      <c r="G86" s="1407" t="str">
        <f>Bilanouverture!G86</f>
        <v>Versement restant sur titres participatifs</v>
      </c>
      <c r="H86" s="1517">
        <f>Bilanouverture!H86-Balance!E65</f>
        <v>0</v>
      </c>
    </row>
    <row r="87" spans="1:8" ht="14.1" customHeight="1">
      <c r="A87" s="1418">
        <f>Bilanouverture!A87</f>
        <v>502</v>
      </c>
      <c r="B87" s="1418" t="str">
        <f>Bilanouverture!B87</f>
        <v>Actions propres</v>
      </c>
      <c r="C87" s="1517">
        <f>Bilanouverture!C87+Balance!E149</f>
        <v>0</v>
      </c>
      <c r="D87" s="1517"/>
      <c r="E87" s="1419">
        <f t="shared" ref="E87:E90" si="23">C87-D87</f>
        <v>0</v>
      </c>
      <c r="F87" s="1407">
        <f>Bilanouverture!F87</f>
        <v>4727</v>
      </c>
      <c r="G87" s="1407" t="str">
        <f>Bilanouverture!G87</f>
        <v>Versement restant sur titres immobilisés</v>
      </c>
      <c r="H87" s="1517">
        <f>Bilanouverture!H87-Balance!E66</f>
        <v>0</v>
      </c>
    </row>
    <row r="88" spans="1:8" ht="14.1" customHeight="1">
      <c r="A88" s="1418">
        <f>Bilanouverture!A88</f>
        <v>506</v>
      </c>
      <c r="B88" s="1418" t="str">
        <f>Bilanouverture!B88</f>
        <v xml:space="preserve">VMP Obligations </v>
      </c>
      <c r="C88" s="1517">
        <f>Bilanouverture!C88+Balance!E150</f>
        <v>5000</v>
      </c>
      <c r="D88" s="1517"/>
      <c r="E88" s="1419">
        <f t="shared" si="23"/>
        <v>5000</v>
      </c>
      <c r="F88" s="1407">
        <f>Bilanouverture!F88</f>
        <v>4726</v>
      </c>
      <c r="G88" s="1407" t="str">
        <f>Bilanouverture!G88</f>
        <v>Versement restant sur titres VMP</v>
      </c>
      <c r="H88" s="1517">
        <f>Bilanouverture!H88-Balance!E67</f>
        <v>0</v>
      </c>
    </row>
    <row r="89" spans="1:8" ht="14.1" customHeight="1">
      <c r="A89" s="1418">
        <f>Bilanouverture!A89</f>
        <v>507</v>
      </c>
      <c r="B89" s="1418" t="str">
        <f>Bilanouverture!B89</f>
        <v>Bons du Trésor et bons de caisse à CT</v>
      </c>
      <c r="C89" s="1517">
        <f>Bilanouverture!C89+Balance!E151</f>
        <v>0</v>
      </c>
      <c r="D89" s="1517"/>
      <c r="E89" s="1419">
        <f t="shared" si="23"/>
        <v>0</v>
      </c>
      <c r="F89" s="1407">
        <f>Bilanouverture!F89</f>
        <v>499</v>
      </c>
      <c r="G89" s="1407" t="str">
        <f>Bilanouverture!G89</f>
        <v>Risques provisionnés exploitation et Hao</v>
      </c>
      <c r="H89" s="1517">
        <f>Bilanouverture!H89-Balance!E68</f>
        <v>0</v>
      </c>
    </row>
    <row r="90" spans="1:8" ht="14.1" customHeight="1">
      <c r="A90" s="1418">
        <f>Bilanouverture!A90</f>
        <v>508</v>
      </c>
      <c r="B90" s="1418" t="str">
        <f>Bilanouverture!B90</f>
        <v>Autres VMP et créances assimilées</v>
      </c>
      <c r="C90" s="1517">
        <f>Bilanouverture!C90+Balance!E152</f>
        <v>0</v>
      </c>
      <c r="D90" s="1517"/>
      <c r="E90" s="1419">
        <f t="shared" si="23"/>
        <v>0</v>
      </c>
      <c r="F90" s="1407">
        <f>Bilanouverture!F90</f>
        <v>599</v>
      </c>
      <c r="G90" s="1407" t="str">
        <f>Bilanouverture!G90</f>
        <v>Risques provisionnés à caractère financier</v>
      </c>
      <c r="H90" s="1517">
        <f>Bilanouverture!H90-Balance!E69</f>
        <v>0</v>
      </c>
    </row>
    <row r="91" spans="1:8" ht="14.1" customHeight="1">
      <c r="A91" s="1405" t="s">
        <v>190</v>
      </c>
      <c r="B91" s="1403"/>
      <c r="C91" s="1374">
        <f>SUM(C92:C99)</f>
        <v>-1583795</v>
      </c>
      <c r="D91" s="1374">
        <f>SUM(D92:D99)</f>
        <v>0</v>
      </c>
      <c r="E91" s="1374">
        <f>SUM(E92:E99)</f>
        <v>-1583795</v>
      </c>
      <c r="F91" s="1402"/>
      <c r="G91" s="1442" t="s">
        <v>1636</v>
      </c>
      <c r="H91" s="1443">
        <f>SUM(H92:H99)</f>
        <v>12100</v>
      </c>
    </row>
    <row r="92" spans="1:8" ht="14.1" customHeight="1">
      <c r="A92" s="1440">
        <f>Bilanouverture!A92</f>
        <v>520</v>
      </c>
      <c r="B92" s="1440" t="str">
        <f>Bilanouverture!B92</f>
        <v>Banques cpte en monnaie nationale</v>
      </c>
      <c r="C92" s="1517">
        <f>Bilanouverture!C92+Balance!E153</f>
        <v>-1600075</v>
      </c>
      <c r="D92" s="1517"/>
      <c r="E92" s="1419">
        <f>C92-D92</f>
        <v>-1600075</v>
      </c>
      <c r="F92" s="1440">
        <f>Bilanouverture!F92</f>
        <v>561</v>
      </c>
      <c r="G92" s="1440" t="str">
        <f>Bilanouverture!G92</f>
        <v>Banques et crédits d'escompte</v>
      </c>
      <c r="H92" s="1517">
        <f>Bilanouverture!H92-Balance!E70</f>
        <v>0</v>
      </c>
    </row>
    <row r="93" spans="1:8" ht="14.1" customHeight="1">
      <c r="A93" s="1440">
        <f>Bilanouverture!A93</f>
        <v>524</v>
      </c>
      <c r="B93" s="1440" t="str">
        <f>Bilanouverture!B93</f>
        <v>Banques hors Zone Franc</v>
      </c>
      <c r="C93" s="1517">
        <f>Bilanouverture!C93+Balance!E154</f>
        <v>0</v>
      </c>
      <c r="D93" s="1517"/>
      <c r="E93" s="1419">
        <f t="shared" ref="E93:E99" si="24">C93-D93</f>
        <v>0</v>
      </c>
      <c r="F93" s="1440">
        <f>Bilanouverture!F93</f>
        <v>564</v>
      </c>
      <c r="G93" s="1440" t="str">
        <f>Bilanouverture!G93</f>
        <v>Escompte de concours campagne agricole</v>
      </c>
      <c r="H93" s="1517">
        <f>Bilanouverture!H93-Balance!E71</f>
        <v>0</v>
      </c>
    </row>
    <row r="94" spans="1:8" ht="14.1" customHeight="1">
      <c r="A94" s="1440">
        <f>Bilanouverture!A94</f>
        <v>545</v>
      </c>
      <c r="B94" s="1440" t="str">
        <f>Bilanouverture!B94</f>
        <v>Avoirs or, autres. métaux précieux</v>
      </c>
      <c r="C94" s="1517">
        <f>Bilanouverture!C94+Balance!E155</f>
        <v>0</v>
      </c>
      <c r="D94" s="1517"/>
      <c r="E94" s="1419">
        <f t="shared" si="24"/>
        <v>0</v>
      </c>
      <c r="F94" s="1440">
        <f>Bilanouverture!F94</f>
        <v>565</v>
      </c>
      <c r="G94" s="1440" t="str">
        <f>Bilanouverture!G94</f>
        <v>Escompte de crédit pour le commerce</v>
      </c>
      <c r="H94" s="1517">
        <f>Bilanouverture!H94-Balance!E72</f>
        <v>0</v>
      </c>
    </row>
    <row r="95" spans="1:8" ht="14.1" customHeight="1">
      <c r="A95" s="1440">
        <f>Bilanouverture!A95</f>
        <v>531</v>
      </c>
      <c r="B95" s="1440" t="str">
        <f>Bilanouverture!B95</f>
        <v>Compte postal</v>
      </c>
      <c r="C95" s="1517">
        <f>Bilanouverture!C95+Balance!E156</f>
        <v>0</v>
      </c>
      <c r="D95" s="1517"/>
      <c r="E95" s="1419">
        <f t="shared" si="24"/>
        <v>0</v>
      </c>
      <c r="F95" s="1440">
        <f>Bilanouverture!F95</f>
        <v>566</v>
      </c>
      <c r="G95" s="1440" t="str">
        <f>Bilanouverture!G95</f>
        <v>Intérêt couru sur crédit de trésorerie</v>
      </c>
      <c r="H95" s="1517">
        <f>Bilanouverture!H95-Balance!E73</f>
        <v>0</v>
      </c>
    </row>
    <row r="96" spans="1:8" ht="14.1" customHeight="1">
      <c r="A96" s="1440">
        <f>Bilanouverture!A96</f>
        <v>570</v>
      </c>
      <c r="B96" s="1440" t="str">
        <f>Bilanouverture!B96</f>
        <v>Caisses</v>
      </c>
      <c r="C96" s="1517">
        <f>Bilanouverture!C96+Balance!E157</f>
        <v>-220</v>
      </c>
      <c r="D96" s="1517"/>
      <c r="E96" s="1419">
        <f t="shared" si="24"/>
        <v>-220</v>
      </c>
      <c r="F96" s="1440">
        <f>Bilanouverture!F96</f>
        <v>52</v>
      </c>
      <c r="G96" s="1440" t="str">
        <f>Bilanouverture!G96</f>
        <v>Banques, découverts solde céditeur</v>
      </c>
      <c r="H96" s="1517">
        <f>Bilanouverture!H96-Balance!E74</f>
        <v>0</v>
      </c>
    </row>
    <row r="97" spans="1:8" ht="14.1" customHeight="1">
      <c r="A97" s="1440">
        <f>Bilanouverture!A97</f>
        <v>476</v>
      </c>
      <c r="B97" s="1440" t="str">
        <f>Bilanouverture!B97</f>
        <v>Actif de régulation (Charge payée d'avance, produit à recevoir)</v>
      </c>
      <c r="C97" s="1517">
        <f>Bilanouverture!C97+Balance!E158</f>
        <v>16500</v>
      </c>
      <c r="D97" s="1517"/>
      <c r="E97" s="1419">
        <f t="shared" si="24"/>
        <v>16500</v>
      </c>
      <c r="F97" s="1444"/>
      <c r="G97" s="1444"/>
      <c r="H97" s="1517"/>
    </row>
    <row r="98" spans="1:8" ht="14.1" customHeight="1">
      <c r="A98" s="1440">
        <f>Bilanouverture!A98</f>
        <v>202</v>
      </c>
      <c r="B98" s="1440" t="str">
        <f>Bilanouverture!B98</f>
        <v>Charges étaler sur +sieurs exercices</v>
      </c>
      <c r="C98" s="1517">
        <f>Bilanouverture!C98+Balance!E159</f>
        <v>0</v>
      </c>
      <c r="D98" s="1517"/>
      <c r="E98" s="1419">
        <f t="shared" si="24"/>
        <v>0</v>
      </c>
      <c r="F98" s="1440">
        <f>Bilanouverture!F98</f>
        <v>477</v>
      </c>
      <c r="G98" s="1440" t="str">
        <f>Bilanouverture!G98</f>
        <v>Passif de régulation , Charge à payer, Produits payés d'avance</v>
      </c>
      <c r="H98" s="1517">
        <f>Bilanouverture!H98-Balance!E75</f>
        <v>12100</v>
      </c>
    </row>
    <row r="99" spans="1:8" ht="14.1" customHeight="1">
      <c r="A99" s="1440">
        <f>Bilanouverture!A99</f>
        <v>478</v>
      </c>
      <c r="B99" s="1440" t="str">
        <f>Bilanouverture!B99</f>
        <v>Ecart de convertion d'actif</v>
      </c>
      <c r="C99" s="1517">
        <f>Bilanouverture!C99+Balance!E160</f>
        <v>0</v>
      </c>
      <c r="D99" s="1517"/>
      <c r="E99" s="1419">
        <f t="shared" si="24"/>
        <v>0</v>
      </c>
      <c r="F99" s="1440">
        <f>Bilanouverture!F99</f>
        <v>479</v>
      </c>
      <c r="G99" s="1440" t="str">
        <f>Bilanouverture!G99</f>
        <v>Ecart de convertion de passif</v>
      </c>
      <c r="H99" s="1517">
        <f>Bilanouverture!H99-Balance!E76</f>
        <v>0</v>
      </c>
    </row>
    <row r="100" spans="1:8" ht="14.1" customHeight="1">
      <c r="A100" s="1430"/>
      <c r="B100" s="1431" t="s">
        <v>186</v>
      </c>
      <c r="C100" s="1378">
        <f>SUM(C91,C85,C66,C59)</f>
        <v>-386677</v>
      </c>
      <c r="D100" s="1378">
        <f>SUM(D91,D85,D66,D59)</f>
        <v>0</v>
      </c>
      <c r="E100" s="1378">
        <f>SUM(E59,E66,E85,E91)</f>
        <v>-386677</v>
      </c>
      <c r="F100" s="1432"/>
      <c r="G100" s="1431" t="s">
        <v>191</v>
      </c>
      <c r="H100" s="1376">
        <f>SUM(H59,H70,H91)</f>
        <v>158179.4135021097</v>
      </c>
    </row>
    <row r="101" spans="1:8" ht="14.1" customHeight="1">
      <c r="A101" s="1445"/>
      <c r="B101" s="1446" t="s">
        <v>192</v>
      </c>
      <c r="C101" s="1379">
        <f>SUM(C57,C100)</f>
        <v>292423</v>
      </c>
      <c r="D101" s="1379">
        <f>SUM(D57,D100)</f>
        <v>4000</v>
      </c>
      <c r="E101" s="1379">
        <f t="shared" ref="E101" si="25">SUM(E57,E100)</f>
        <v>288423</v>
      </c>
      <c r="F101" s="1447"/>
      <c r="G101" s="1446" t="s">
        <v>193</v>
      </c>
      <c r="H101" s="1379">
        <f>SUM(H33,H57,H100)</f>
        <v>288423</v>
      </c>
    </row>
    <row r="102" spans="1:8" ht="14.1" customHeight="1">
      <c r="A102" s="1448" t="s">
        <v>194</v>
      </c>
      <c r="B102" s="1449"/>
      <c r="C102" s="1380"/>
      <c r="D102" s="1380"/>
      <c r="E102" s="1380"/>
      <c r="F102" s="1450"/>
      <c r="G102" s="1380"/>
      <c r="H102" s="1380">
        <f>H101-E101</f>
        <v>0</v>
      </c>
    </row>
    <row r="103" spans="1:8" s="1451" customFormat="1" ht="13.5" customHeight="1">
      <c r="A103" s="1433"/>
      <c r="B103" s="1381"/>
      <c r="C103" s="1381"/>
      <c r="D103" s="1381">
        <f>E101-Bilanouverture!E101</f>
        <v>288423</v>
      </c>
      <c r="E103" s="1381"/>
      <c r="F103" s="1433"/>
      <c r="G103" s="1381"/>
      <c r="H103" s="1381"/>
    </row>
    <row r="104" spans="1:8" s="1451" customFormat="1" ht="13.5" customHeight="1">
      <c r="A104" s="1382" t="s">
        <v>195</v>
      </c>
      <c r="B104" s="1382"/>
      <c r="C104" s="1382"/>
      <c r="D104" s="1382"/>
      <c r="E104" s="1382"/>
      <c r="F104" s="1382"/>
      <c r="G104" s="1452"/>
      <c r="H104" s="1452"/>
    </row>
    <row r="105" spans="1:8" s="1451" customFormat="1" ht="13.5" customHeight="1">
      <c r="A105" s="1383" t="s">
        <v>196</v>
      </c>
      <c r="B105" s="1383"/>
      <c r="C105" s="1383"/>
      <c r="D105" s="1383"/>
      <c r="E105" s="1383"/>
      <c r="F105" s="1383" t="s">
        <v>197</v>
      </c>
      <c r="G105" s="1383"/>
      <c r="H105" s="1383"/>
    </row>
    <row r="106" spans="1:8" s="1451" customFormat="1" ht="13.5" customHeight="1">
      <c r="A106" s="1383" t="s">
        <v>198</v>
      </c>
      <c r="B106" s="1383"/>
      <c r="C106" s="1383"/>
      <c r="D106" s="1383"/>
      <c r="E106" s="1383"/>
      <c r="F106" s="1383" t="s">
        <v>199</v>
      </c>
      <c r="G106" s="1383"/>
      <c r="H106" s="1383"/>
    </row>
    <row r="107" spans="1:8" s="1451" customFormat="1" ht="13.5" customHeight="1">
      <c r="A107" s="1383" t="s">
        <v>200</v>
      </c>
      <c r="B107" s="1383"/>
      <c r="C107" s="1384">
        <f>C7</f>
        <v>60000</v>
      </c>
      <c r="D107" s="1383"/>
      <c r="E107" s="1383"/>
      <c r="F107" s="1383" t="s">
        <v>201</v>
      </c>
      <c r="G107" s="1383"/>
      <c r="H107" s="1384">
        <f>H33</f>
        <v>90243.586497890297</v>
      </c>
    </row>
    <row r="108" spans="1:8" s="1451" customFormat="1" ht="13.5" customHeight="1">
      <c r="A108" s="1383" t="s">
        <v>202</v>
      </c>
      <c r="B108" s="1383"/>
      <c r="C108" s="1384">
        <f>C22</f>
        <v>519500</v>
      </c>
      <c r="D108" s="1383"/>
      <c r="E108" s="1383"/>
      <c r="F108" s="1383" t="s">
        <v>203</v>
      </c>
      <c r="G108" s="1383"/>
      <c r="H108" s="1384">
        <f>D101+H47</f>
        <v>4000</v>
      </c>
    </row>
    <row r="109" spans="1:8" s="1451" customFormat="1" ht="13.5" customHeight="1">
      <c r="A109" s="1383" t="s">
        <v>204</v>
      </c>
      <c r="B109" s="1383"/>
      <c r="C109" s="1384">
        <f>C49</f>
        <v>99600</v>
      </c>
      <c r="D109" s="1383"/>
      <c r="E109" s="1383"/>
      <c r="F109" s="1383" t="s">
        <v>205</v>
      </c>
      <c r="G109" s="1383"/>
      <c r="H109" s="1384">
        <f>SUM(H39)</f>
        <v>40000</v>
      </c>
    </row>
    <row r="110" spans="1:8" s="1451" customFormat="1" ht="13.5" customHeight="1">
      <c r="A110" s="1385" t="s">
        <v>15</v>
      </c>
      <c r="B110" s="1383"/>
      <c r="C110" s="1385">
        <f>SUM(C107:C109)</f>
        <v>679100</v>
      </c>
      <c r="D110" s="1383"/>
      <c r="E110" s="1383"/>
      <c r="F110" s="1385" t="s">
        <v>15</v>
      </c>
      <c r="G110" s="1385"/>
      <c r="H110" s="1385">
        <f>SUM(H107:H109)</f>
        <v>134243.5864978903</v>
      </c>
    </row>
    <row r="111" spans="1:8" s="1451" customFormat="1" ht="13.5" customHeight="1">
      <c r="A111" s="1383"/>
      <c r="B111" s="1383"/>
      <c r="C111" s="1383"/>
      <c r="D111" s="1383"/>
      <c r="E111" s="1383"/>
      <c r="F111" s="1383"/>
      <c r="G111" s="1383"/>
      <c r="H111" s="1383"/>
    </row>
    <row r="112" spans="1:8" s="1451" customFormat="1" ht="13.5" customHeight="1">
      <c r="A112" s="1383" t="s">
        <v>206</v>
      </c>
      <c r="B112" s="1383"/>
      <c r="C112" s="1383"/>
      <c r="D112" s="1383"/>
      <c r="E112" s="1383"/>
      <c r="F112" s="1383" t="s">
        <v>207</v>
      </c>
      <c r="G112" s="1383"/>
      <c r="H112" s="1383"/>
    </row>
    <row r="113" spans="1:8" s="1451" customFormat="1" ht="13.5" customHeight="1">
      <c r="A113" s="1383" t="s">
        <v>208</v>
      </c>
      <c r="B113" s="1383"/>
      <c r="C113" s="1384">
        <f>C59</f>
        <v>-39000</v>
      </c>
      <c r="D113" s="1383"/>
      <c r="E113" s="1383"/>
      <c r="F113" s="1383" t="s">
        <v>209</v>
      </c>
      <c r="G113" s="1383"/>
      <c r="H113" s="1384">
        <f>SUM(H60:H68)</f>
        <v>-33240</v>
      </c>
    </row>
    <row r="114" spans="1:8" s="1451" customFormat="1" ht="13.5" customHeight="1">
      <c r="A114" s="1383" t="s">
        <v>1484</v>
      </c>
      <c r="B114" s="1383"/>
      <c r="C114" s="1384">
        <f>C66</f>
        <v>1229118</v>
      </c>
      <c r="D114" s="1383"/>
      <c r="E114" s="1383"/>
      <c r="F114" s="1383" t="s">
        <v>210</v>
      </c>
      <c r="G114" s="1383"/>
      <c r="H114" s="1384">
        <f>H70</f>
        <v>179319.4135021097</v>
      </c>
    </row>
    <row r="115" spans="1:8" s="1451" customFormat="1" ht="13.5" customHeight="1">
      <c r="A115" s="1385" t="s">
        <v>15</v>
      </c>
      <c r="B115" s="1383"/>
      <c r="C115" s="1385">
        <f>SUM(C113:C114)</f>
        <v>1190118</v>
      </c>
      <c r="D115" s="1383"/>
      <c r="E115" s="1383"/>
      <c r="F115" s="1385" t="s">
        <v>15</v>
      </c>
      <c r="G115" s="1385"/>
      <c r="H115" s="1385">
        <f>SUM(H113:H114)</f>
        <v>146079.4135021097</v>
      </c>
    </row>
    <row r="116" spans="1:8" s="1451" customFormat="1" ht="13.5" customHeight="1">
      <c r="A116" s="1383"/>
      <c r="B116" s="1383"/>
      <c r="C116" s="1383"/>
      <c r="D116" s="1383"/>
      <c r="E116" s="1383"/>
      <c r="F116" s="1383"/>
      <c r="G116" s="1383"/>
      <c r="H116" s="1383"/>
    </row>
    <row r="117" spans="1:8" s="1451" customFormat="1" ht="13.5" customHeight="1">
      <c r="A117" s="1383" t="s">
        <v>211</v>
      </c>
      <c r="B117" s="1383"/>
      <c r="C117" s="1383"/>
      <c r="D117" s="1383"/>
      <c r="E117" s="1383"/>
      <c r="F117" s="1383" t="s">
        <v>212</v>
      </c>
      <c r="G117" s="1383"/>
      <c r="H117" s="1383"/>
    </row>
    <row r="118" spans="1:8" s="1451" customFormat="1" ht="13.5" customHeight="1">
      <c r="A118" s="1383" t="s">
        <v>213</v>
      </c>
      <c r="B118" s="1383"/>
      <c r="C118" s="1384">
        <f>C85+C91</f>
        <v>-1576795</v>
      </c>
      <c r="D118" s="1383"/>
      <c r="E118" s="1383"/>
      <c r="F118" s="1383" t="s">
        <v>214</v>
      </c>
      <c r="G118" s="1383"/>
      <c r="H118" s="1384">
        <f>H91</f>
        <v>12100</v>
      </c>
    </row>
    <row r="119" spans="1:8" s="1451" customFormat="1" ht="13.5" customHeight="1">
      <c r="A119" s="1385" t="s">
        <v>15</v>
      </c>
      <c r="B119" s="1385"/>
      <c r="C119" s="1385">
        <f>C118</f>
        <v>-1576795</v>
      </c>
      <c r="D119" s="1383"/>
      <c r="E119" s="1383"/>
      <c r="F119" s="1383" t="s">
        <v>15</v>
      </c>
      <c r="G119" s="1383"/>
      <c r="H119" s="1453">
        <f>H118</f>
        <v>12100</v>
      </c>
    </row>
    <row r="120" spans="1:8" s="1451" customFormat="1" ht="13.5" customHeight="1">
      <c r="A120" s="1383"/>
      <c r="B120" s="1383"/>
      <c r="C120" s="1383"/>
      <c r="D120" s="1383"/>
      <c r="E120" s="1383"/>
      <c r="F120" s="1383"/>
      <c r="G120" s="1383"/>
      <c r="H120" s="1383"/>
    </row>
    <row r="121" spans="1:8" s="1451" customFormat="1" ht="13.5" customHeight="1">
      <c r="A121" s="1385" t="s">
        <v>215</v>
      </c>
      <c r="B121" s="1383"/>
      <c r="C121" s="1385">
        <f>SUM(C110,C115,C119)</f>
        <v>292423</v>
      </c>
      <c r="D121" s="1383"/>
      <c r="E121" s="1383"/>
      <c r="F121" s="1385" t="s">
        <v>215</v>
      </c>
      <c r="G121" s="1385"/>
      <c r="H121" s="1453">
        <f>SUM(H110,H115,H119)</f>
        <v>292423</v>
      </c>
    </row>
    <row r="122" spans="1:8" s="1451" customFormat="1" ht="13.5" customHeight="1">
      <c r="A122" s="1454" t="s">
        <v>918</v>
      </c>
      <c r="B122" s="1386"/>
      <c r="C122" s="1386"/>
      <c r="D122" s="1455" t="s">
        <v>919</v>
      </c>
      <c r="E122" s="1456"/>
      <c r="F122" s="1386"/>
      <c r="G122" s="1386"/>
      <c r="H122" s="1582">
        <f>H121-C121</f>
        <v>0</v>
      </c>
    </row>
    <row r="123" spans="1:8" s="1451" customFormat="1" ht="13.5" customHeight="1">
      <c r="A123" s="1387"/>
      <c r="B123" s="1387"/>
      <c r="C123" s="1387"/>
      <c r="D123" s="1387"/>
      <c r="E123" s="1387"/>
      <c r="F123" s="1387"/>
      <c r="G123" s="1387"/>
      <c r="H123" s="1387"/>
    </row>
    <row r="124" spans="1:8" s="1451" customFormat="1" ht="13.5" customHeight="1">
      <c r="A124" s="1383" t="s">
        <v>216</v>
      </c>
      <c r="B124" s="1383"/>
      <c r="C124" s="1383"/>
      <c r="D124" s="1383"/>
      <c r="E124" s="1383"/>
      <c r="F124" s="1383"/>
      <c r="G124" s="1383"/>
      <c r="H124" s="1383"/>
    </row>
    <row r="125" spans="1:8" s="1451" customFormat="1" ht="13.5" customHeight="1">
      <c r="A125" s="1388" t="s">
        <v>217</v>
      </c>
      <c r="B125" s="1388"/>
      <c r="C125" s="1388"/>
      <c r="D125" s="1383"/>
      <c r="E125" s="1654">
        <f>H110</f>
        <v>134243.5864978903</v>
      </c>
      <c r="F125" s="1655"/>
      <c r="G125" s="1388">
        <f>C110</f>
        <v>679100</v>
      </c>
      <c r="H125" s="1457">
        <f>E125-G125</f>
        <v>-544856.4135021097</v>
      </c>
    </row>
    <row r="126" spans="1:8" s="1451" customFormat="1" ht="13.5" customHeight="1">
      <c r="A126" s="1388" t="s">
        <v>501</v>
      </c>
      <c r="B126" s="1388"/>
      <c r="C126" s="1388"/>
      <c r="D126" s="1383"/>
      <c r="E126" s="1654">
        <f>C115</f>
        <v>1190118</v>
      </c>
      <c r="F126" s="1655"/>
      <c r="G126" s="1388">
        <f>H115</f>
        <v>146079.4135021097</v>
      </c>
      <c r="H126" s="1457">
        <f>E126-G126</f>
        <v>1044038.5864978903</v>
      </c>
    </row>
    <row r="127" spans="1:8" s="1451" customFormat="1" ht="13.5" customHeight="1">
      <c r="A127" s="1388" t="s">
        <v>917</v>
      </c>
      <c r="B127" s="1388"/>
      <c r="C127" s="1388"/>
      <c r="D127" s="1383"/>
      <c r="E127" s="1654">
        <f>C119</f>
        <v>-1576795</v>
      </c>
      <c r="F127" s="1655"/>
      <c r="G127" s="1388">
        <f>H119</f>
        <v>12100</v>
      </c>
      <c r="H127" s="1457">
        <f>E127-G127</f>
        <v>-1588895</v>
      </c>
    </row>
    <row r="128" spans="1:8" s="1451" customFormat="1" ht="13.5" customHeight="1">
      <c r="A128" s="1388" t="s">
        <v>218</v>
      </c>
      <c r="B128" s="1388"/>
      <c r="C128" s="1388"/>
      <c r="D128" s="1383"/>
      <c r="E128" s="1654">
        <f>H125</f>
        <v>-544856.4135021097</v>
      </c>
      <c r="F128" s="1655"/>
      <c r="G128" s="1388">
        <f>H126</f>
        <v>1044038.5864978903</v>
      </c>
      <c r="H128" s="1457">
        <f>E128-G128</f>
        <v>-1588895</v>
      </c>
    </row>
    <row r="129" spans="1:9" s="1451" customFormat="1" ht="13.5" customHeight="1">
      <c r="A129" s="1458" t="str">
        <f>IF(H128=H127,"Votre trésorerie issue du FRNG et du BFR est juste, les moyens de vérifications sont confirmés"," Votre Trésorerie est fausse, vérifier l'équilibre du bilan d'ouverture")</f>
        <v>Votre trésorerie issue du FRNG et du BFR est juste, les moyens de vérifications sont confirmés</v>
      </c>
      <c r="B129" s="1389"/>
      <c r="C129" s="1389"/>
      <c r="D129" s="1389"/>
      <c r="E129" s="1389"/>
      <c r="F129" s="1389"/>
      <c r="G129" s="1389"/>
      <c r="H129" s="1389"/>
    </row>
    <row r="130" spans="1:9" s="1451" customFormat="1" ht="13.5" customHeight="1">
      <c r="A130" s="1457"/>
      <c r="B130" s="1383"/>
      <c r="C130" s="1383"/>
      <c r="D130" s="1383"/>
      <c r="E130" s="1383"/>
      <c r="F130" s="1383"/>
      <c r="G130" s="1383"/>
      <c r="H130" s="1383"/>
    </row>
    <row r="131" spans="1:9" s="1451" customFormat="1" ht="13.5" customHeight="1">
      <c r="A131" s="1400"/>
      <c r="B131" s="1400"/>
      <c r="C131" s="1368"/>
      <c r="D131" s="1368"/>
      <c r="E131" s="1368"/>
      <c r="F131" s="1368"/>
      <c r="G131" s="1368"/>
      <c r="H131" s="1368"/>
    </row>
    <row r="132" spans="1:9" ht="14.1" customHeight="1">
      <c r="A132" s="1656" t="s">
        <v>1113</v>
      </c>
      <c r="B132" s="1657"/>
      <c r="C132" s="1657"/>
      <c r="D132" s="1459"/>
      <c r="E132" s="1459"/>
      <c r="F132" s="1459"/>
      <c r="G132" s="1460" t="str">
        <f>IF(H132=0,"Equilibre du bilan financier, écart","Déséquilibre du bilan financier,écart")</f>
        <v>Equilibre du bilan financier, écart</v>
      </c>
      <c r="H132" s="1461">
        <f>H150-D150</f>
        <v>0</v>
      </c>
      <c r="I132" s="1390"/>
    </row>
    <row r="133" spans="1:9" ht="14.1" customHeight="1">
      <c r="A133" s="1658" t="s">
        <v>1025</v>
      </c>
      <c r="B133" s="1659"/>
      <c r="C133" s="1659"/>
      <c r="D133" s="1462"/>
      <c r="E133" s="1463" t="s">
        <v>1026</v>
      </c>
      <c r="F133" s="1463"/>
      <c r="G133" s="1463"/>
      <c r="H133" s="1462"/>
      <c r="I133" s="1390"/>
    </row>
    <row r="134" spans="1:9" ht="14.1" customHeight="1">
      <c r="A134" s="1652" t="s">
        <v>1027</v>
      </c>
      <c r="B134" s="1653"/>
      <c r="C134" s="1653"/>
      <c r="D134" s="1464">
        <f>E91-E97-E98</f>
        <v>-1600295</v>
      </c>
      <c r="E134" s="1462" t="s">
        <v>1116</v>
      </c>
      <c r="F134" s="1463"/>
      <c r="G134" s="1463"/>
      <c r="H134" s="1555">
        <f>SUM(H60:H69)</f>
        <v>-33240</v>
      </c>
      <c r="I134" s="1390"/>
    </row>
    <row r="135" spans="1:9" ht="14.1" customHeight="1">
      <c r="A135" s="1650" t="s">
        <v>1028</v>
      </c>
      <c r="B135" s="1651"/>
      <c r="C135" s="1651"/>
      <c r="D135" s="1465">
        <f>D134</f>
        <v>-1600295</v>
      </c>
      <c r="E135" s="1462" t="s">
        <v>500</v>
      </c>
      <c r="F135" s="1463"/>
      <c r="G135" s="1463"/>
      <c r="H135" s="1466">
        <f>H70-H74</f>
        <v>179319.4135021097</v>
      </c>
      <c r="I135" s="1390"/>
    </row>
    <row r="136" spans="1:9" ht="14.1" customHeight="1">
      <c r="A136" s="1652"/>
      <c r="B136" s="1653"/>
      <c r="C136" s="1653"/>
      <c r="D136" s="1467"/>
      <c r="E136" s="1462" t="s">
        <v>1029</v>
      </c>
      <c r="F136" s="1463"/>
      <c r="G136" s="1463"/>
      <c r="H136" s="1466">
        <f>H74</f>
        <v>0</v>
      </c>
      <c r="I136" s="1390"/>
    </row>
    <row r="137" spans="1:9" ht="14.1" customHeight="1">
      <c r="A137" s="1652" t="s">
        <v>1030</v>
      </c>
      <c r="B137" s="1653"/>
      <c r="C137" s="1653"/>
      <c r="D137" s="1554">
        <f>E85</f>
        <v>7000</v>
      </c>
      <c r="E137" s="1521" t="s">
        <v>1660</v>
      </c>
      <c r="F137" s="1463"/>
      <c r="G137" s="1463"/>
      <c r="H137" s="1466">
        <f>H91</f>
        <v>12100</v>
      </c>
      <c r="I137" s="1390"/>
    </row>
    <row r="138" spans="1:9" ht="14.1" customHeight="1">
      <c r="A138" s="1652" t="s">
        <v>1031</v>
      </c>
      <c r="B138" s="1653"/>
      <c r="C138" s="1653"/>
      <c r="D138" s="1466">
        <f xml:space="preserve"> SUM(E67:E73)</f>
        <v>1168918</v>
      </c>
      <c r="E138" s="1468" t="s">
        <v>1032</v>
      </c>
      <c r="F138" s="1469"/>
      <c r="G138" s="1469"/>
      <c r="H138" s="1465">
        <f>SUM(H134:H137)</f>
        <v>158179.4135021097</v>
      </c>
      <c r="I138" s="1390"/>
    </row>
    <row r="139" spans="1:9" ht="14.1" customHeight="1">
      <c r="A139" s="1652" t="s">
        <v>1033</v>
      </c>
      <c r="B139" s="1653"/>
      <c r="C139" s="1653"/>
      <c r="D139" s="1466">
        <f>SUM(E74:E84)</f>
        <v>60200</v>
      </c>
      <c r="E139" s="1521" t="s">
        <v>1659</v>
      </c>
      <c r="F139" s="1470"/>
      <c r="G139" s="1470"/>
      <c r="H139" s="1466">
        <f>H41</f>
        <v>40000</v>
      </c>
      <c r="I139" s="1390"/>
    </row>
    <row r="140" spans="1:9" ht="14.1" customHeight="1">
      <c r="A140" s="1652" t="s">
        <v>1115</v>
      </c>
      <c r="B140" s="1653"/>
      <c r="C140" s="1653"/>
      <c r="D140" s="1555">
        <f>E97</f>
        <v>16500</v>
      </c>
      <c r="E140" s="1521" t="s">
        <v>1</v>
      </c>
      <c r="F140" s="1470"/>
      <c r="G140" s="1470"/>
      <c r="H140" s="1466">
        <f>H39-H41</f>
        <v>0</v>
      </c>
      <c r="I140" s="1390"/>
    </row>
    <row r="141" spans="1:9" ht="14.1" customHeight="1">
      <c r="A141" s="1650" t="s">
        <v>1034</v>
      </c>
      <c r="B141" s="1651"/>
      <c r="C141" s="1651"/>
      <c r="D141" s="1465">
        <f>SUM(D137:D140)</f>
        <v>1252618</v>
      </c>
      <c r="E141" s="1462" t="s">
        <v>1110</v>
      </c>
      <c r="F141" s="1470"/>
      <c r="G141" s="1470"/>
      <c r="H141" s="1556">
        <f>H47</f>
        <v>0</v>
      </c>
      <c r="I141" s="1390"/>
    </row>
    <row r="142" spans="1:9" ht="14.1" customHeight="1">
      <c r="A142" s="1652" t="s">
        <v>1035</v>
      </c>
      <c r="B142" s="1653"/>
      <c r="C142" s="1653"/>
      <c r="D142" s="1466">
        <f>E59</f>
        <v>-39000</v>
      </c>
      <c r="E142" s="1471" t="s">
        <v>1662</v>
      </c>
      <c r="F142" s="1471"/>
      <c r="G142" s="1471"/>
      <c r="H142" s="1472">
        <f>D148</f>
        <v>4000</v>
      </c>
      <c r="I142" s="1390"/>
    </row>
    <row r="143" spans="1:9" ht="14.1" customHeight="1">
      <c r="A143" s="1650" t="s">
        <v>1037</v>
      </c>
      <c r="B143" s="1651"/>
      <c r="C143" s="1651"/>
      <c r="D143" s="1473">
        <f>D142</f>
        <v>-39000</v>
      </c>
      <c r="E143" s="1468" t="s">
        <v>1036</v>
      </c>
      <c r="F143" s="1469"/>
      <c r="G143" s="1469"/>
      <c r="H143" s="1474">
        <f>SUM(H139:H142)</f>
        <v>44000</v>
      </c>
      <c r="I143" s="1390"/>
    </row>
    <row r="144" spans="1:9" ht="14.1" customHeight="1">
      <c r="A144" s="1652"/>
      <c r="B144" s="1653"/>
      <c r="C144" s="1653"/>
      <c r="D144" s="1467"/>
      <c r="E144" s="1462" t="s">
        <v>1038</v>
      </c>
      <c r="F144" s="1470"/>
      <c r="G144" s="1470"/>
      <c r="H144" s="1466">
        <f>SUM(H7:H13)+SUM(H15:H19)+H30</f>
        <v>-1400</v>
      </c>
      <c r="I144" s="1390"/>
    </row>
    <row r="145" spans="1:9" ht="14.1" customHeight="1">
      <c r="A145" s="1652" t="s">
        <v>1107</v>
      </c>
      <c r="B145" s="1653"/>
      <c r="C145" s="1653"/>
      <c r="D145" s="1464">
        <f>E7</f>
        <v>57000</v>
      </c>
      <c r="E145" s="1462" t="s">
        <v>1039</v>
      </c>
      <c r="F145" s="1470"/>
      <c r="G145" s="1470"/>
      <c r="H145" s="1466">
        <f>H21</f>
        <v>0</v>
      </c>
      <c r="I145" s="1390"/>
    </row>
    <row r="146" spans="1:9" ht="14.1" customHeight="1">
      <c r="A146" s="1652" t="s">
        <v>1108</v>
      </c>
      <c r="B146" s="1653"/>
      <c r="C146" s="1653"/>
      <c r="D146" s="1464">
        <f>E22</f>
        <v>518500</v>
      </c>
      <c r="E146" s="1462" t="s">
        <v>1040</v>
      </c>
      <c r="F146" s="1470"/>
      <c r="G146" s="1470"/>
      <c r="H146" s="1466">
        <f>SUM(H22:H24)</f>
        <v>0</v>
      </c>
      <c r="I146" s="1390"/>
    </row>
    <row r="147" spans="1:9" ht="14.1" customHeight="1">
      <c r="A147" s="1652" t="s">
        <v>1109</v>
      </c>
      <c r="B147" s="1653"/>
      <c r="C147" s="1653"/>
      <c r="D147" s="1464">
        <f>E49</f>
        <v>99600</v>
      </c>
      <c r="E147" s="1521" t="s">
        <v>1661</v>
      </c>
      <c r="F147" s="1470"/>
      <c r="G147" s="1470"/>
      <c r="H147" s="1466">
        <f>SUM(H25:H26)</f>
        <v>0</v>
      </c>
      <c r="I147" s="1390"/>
    </row>
    <row r="148" spans="1:9" ht="14.1" customHeight="1">
      <c r="A148" s="1652" t="s">
        <v>1041</v>
      </c>
      <c r="B148" s="1653"/>
      <c r="C148" s="1653"/>
      <c r="D148" s="1464">
        <f>D101</f>
        <v>4000</v>
      </c>
      <c r="E148" s="1462" t="s">
        <v>1043</v>
      </c>
      <c r="F148" s="1470"/>
      <c r="G148" s="1470"/>
      <c r="H148" s="1466">
        <f>H27</f>
        <v>91643.586497890297</v>
      </c>
      <c r="I148" s="1390"/>
    </row>
    <row r="149" spans="1:9" ht="14.1" customHeight="1">
      <c r="A149" s="1650" t="s">
        <v>1042</v>
      </c>
      <c r="B149" s="1651"/>
      <c r="C149" s="1651"/>
      <c r="D149" s="1465">
        <f>SUM(D145:D148)</f>
        <v>679100</v>
      </c>
      <c r="E149" s="1468" t="s">
        <v>1044</v>
      </c>
      <c r="F149" s="1469"/>
      <c r="G149" s="1469"/>
      <c r="H149" s="1465">
        <f>SUM(H144:H148)</f>
        <v>90243.586497890297</v>
      </c>
      <c r="I149" s="1390"/>
    </row>
    <row r="150" spans="1:9" ht="14.1" customHeight="1">
      <c r="A150" s="1650" t="s">
        <v>1045</v>
      </c>
      <c r="B150" s="1651"/>
      <c r="C150" s="1651"/>
      <c r="D150" s="1475">
        <f>SUM(D135,D141,D143,D149)</f>
        <v>292423</v>
      </c>
      <c r="E150" s="1468" t="s">
        <v>1046</v>
      </c>
      <c r="F150" s="1469"/>
      <c r="G150" s="1469"/>
      <c r="H150" s="1475">
        <f>SUM(H138,H143,H149)</f>
        <v>292423</v>
      </c>
      <c r="I150" s="1390"/>
    </row>
    <row r="151" spans="1:9" ht="14.1" customHeight="1">
      <c r="A151" s="1390"/>
      <c r="B151" s="1390"/>
      <c r="C151" s="1390"/>
      <c r="D151" s="1390"/>
      <c r="E151" s="1390"/>
      <c r="F151" s="1390"/>
      <c r="G151" s="1390"/>
      <c r="H151" s="1557"/>
      <c r="I151" s="1390"/>
    </row>
    <row r="152" spans="1:9" ht="14.1" customHeight="1">
      <c r="A152" s="1476" t="s">
        <v>1114</v>
      </c>
      <c r="B152" s="1477"/>
      <c r="C152" s="1391"/>
      <c r="D152" s="1477"/>
      <c r="E152" s="1391"/>
      <c r="F152" s="1391"/>
      <c r="G152" s="1477"/>
      <c r="H152" s="1477"/>
      <c r="I152" s="1390"/>
    </row>
    <row r="153" spans="1:9" ht="14.1" customHeight="1" thickBot="1">
      <c r="A153" s="1478" t="s">
        <v>1047</v>
      </c>
      <c r="B153" s="1392"/>
      <c r="C153" s="1392"/>
      <c r="D153" s="1479" t="s">
        <v>1048</v>
      </c>
      <c r="E153" s="1478" t="s">
        <v>1049</v>
      </c>
      <c r="F153" s="1392"/>
      <c r="G153" s="1480"/>
      <c r="H153" s="1481" t="s">
        <v>1048</v>
      </c>
      <c r="I153" s="1390"/>
    </row>
    <row r="154" spans="1:9" ht="14.1" customHeight="1" thickBot="1">
      <c r="A154" s="1482" t="s">
        <v>1050</v>
      </c>
      <c r="B154" s="1393"/>
      <c r="C154" s="1393"/>
      <c r="D154" s="1483"/>
      <c r="E154" s="1482" t="s">
        <v>1051</v>
      </c>
      <c r="F154" s="1393"/>
      <c r="G154" s="1467"/>
      <c r="H154" s="1484"/>
      <c r="I154" s="1390"/>
    </row>
    <row r="155" spans="1:9" ht="14.1" customHeight="1" thickBot="1">
      <c r="A155" s="1482" t="s">
        <v>1052</v>
      </c>
      <c r="B155" s="1393"/>
      <c r="C155" s="1393"/>
      <c r="D155" s="1485">
        <f>D149</f>
        <v>679100</v>
      </c>
      <c r="E155" s="1482" t="s">
        <v>1053</v>
      </c>
      <c r="F155" s="1393"/>
      <c r="G155" s="1467"/>
      <c r="H155" s="1486">
        <f>H149+H142+H141</f>
        <v>94243.586497890297</v>
      </c>
      <c r="I155" s="1390"/>
    </row>
    <row r="156" spans="1:9" ht="14.1" customHeight="1" thickBot="1">
      <c r="A156" s="1482" t="s">
        <v>1054</v>
      </c>
      <c r="B156" s="1393"/>
      <c r="C156" s="1393"/>
      <c r="D156" s="1485">
        <f>D143</f>
        <v>-39000</v>
      </c>
      <c r="E156" s="1482" t="s">
        <v>1055</v>
      </c>
      <c r="F156" s="1393"/>
      <c r="G156" s="1467"/>
      <c r="H156" s="1486">
        <f>SUM(H139:H140)</f>
        <v>40000</v>
      </c>
      <c r="I156" s="1390"/>
    </row>
    <row r="157" spans="1:9" ht="14.1" customHeight="1" thickBot="1">
      <c r="A157" s="1482" t="s">
        <v>1056</v>
      </c>
      <c r="B157" s="1393"/>
      <c r="C157" s="1393"/>
      <c r="D157" s="1485">
        <f>D141</f>
        <v>1252618</v>
      </c>
      <c r="E157" s="1482" t="s">
        <v>1057</v>
      </c>
      <c r="F157" s="1393"/>
      <c r="G157" s="1467"/>
      <c r="H157" s="1486">
        <f>H138</f>
        <v>158179.4135021097</v>
      </c>
      <c r="I157" s="1390"/>
    </row>
    <row r="158" spans="1:9" ht="14.1" customHeight="1" thickBot="1">
      <c r="A158" s="1482" t="s">
        <v>1058</v>
      </c>
      <c r="B158" s="1393"/>
      <c r="C158" s="1393"/>
      <c r="D158" s="1485">
        <f>D135</f>
        <v>-1600295</v>
      </c>
      <c r="E158" s="1482"/>
      <c r="F158" s="1393"/>
      <c r="G158" s="1467"/>
      <c r="H158" s="1486"/>
      <c r="I158" s="1390"/>
    </row>
    <row r="159" spans="1:9" ht="14.1" customHeight="1" thickBot="1">
      <c r="A159" s="1487" t="s">
        <v>1059</v>
      </c>
      <c r="B159" s="1394"/>
      <c r="C159" s="1394"/>
      <c r="D159" s="1488">
        <f>SUM(D155:D158)</f>
        <v>292423</v>
      </c>
      <c r="E159" s="1482" t="s">
        <v>1060</v>
      </c>
      <c r="F159" s="1394"/>
      <c r="G159" s="1489"/>
      <c r="H159" s="1490">
        <f>SUM(H155:H158)</f>
        <v>292423</v>
      </c>
      <c r="I159" s="1390"/>
    </row>
    <row r="160" spans="1:9" ht="14.1" customHeight="1" thickBot="1">
      <c r="A160" s="1491" t="s">
        <v>1061</v>
      </c>
      <c r="B160" s="1395"/>
      <c r="C160" s="1395"/>
      <c r="D160" s="1395"/>
      <c r="E160" s="1492"/>
      <c r="F160" s="1492"/>
      <c r="G160" s="1493"/>
      <c r="H160" s="1494"/>
      <c r="I160" s="1390"/>
    </row>
    <row r="161" spans="1:9" ht="14.1" customHeight="1" thickBot="1">
      <c r="A161" s="1482" t="s">
        <v>1062</v>
      </c>
      <c r="B161" s="1396"/>
      <c r="C161" s="1396"/>
      <c r="D161" s="1495" t="s">
        <v>1048</v>
      </c>
      <c r="E161" s="1482" t="s">
        <v>1049</v>
      </c>
      <c r="F161" s="1396"/>
      <c r="G161" s="1496"/>
      <c r="H161" s="1497" t="s">
        <v>1048</v>
      </c>
      <c r="I161" s="1390"/>
    </row>
    <row r="162" spans="1:9" ht="14.1" customHeight="1" thickBot="1">
      <c r="A162" s="1482" t="s">
        <v>1063</v>
      </c>
      <c r="B162" s="1393"/>
      <c r="C162" s="1393"/>
      <c r="D162" s="1498">
        <f>D155</f>
        <v>679100</v>
      </c>
      <c r="E162" s="1482" t="s">
        <v>1064</v>
      </c>
      <c r="F162" s="1393"/>
      <c r="G162" s="1467"/>
      <c r="H162" s="1499">
        <f>SUM(H155:H156)</f>
        <v>134243.5864978903</v>
      </c>
      <c r="I162" s="1390"/>
    </row>
    <row r="163" spans="1:9" ht="14.1" customHeight="1" thickBot="1">
      <c r="A163" s="1482" t="s">
        <v>1065</v>
      </c>
      <c r="B163" s="1393"/>
      <c r="C163" s="1393"/>
      <c r="D163" s="1498">
        <f>SUM(D156:D157)-D137</f>
        <v>1206618</v>
      </c>
      <c r="E163" s="1482" t="s">
        <v>1066</v>
      </c>
      <c r="F163" s="1393"/>
      <c r="G163" s="1467"/>
      <c r="H163" s="1500">
        <f>H157</f>
        <v>158179.4135021097</v>
      </c>
      <c r="I163" s="1390"/>
    </row>
    <row r="164" spans="1:9" ht="14.1" customHeight="1" thickBot="1">
      <c r="A164" s="1482" t="s">
        <v>1067</v>
      </c>
      <c r="B164" s="1393"/>
      <c r="C164" s="1393"/>
      <c r="D164" s="1498">
        <f>D158+D137</f>
        <v>-1593295</v>
      </c>
      <c r="E164" s="1485"/>
      <c r="F164" s="1393"/>
      <c r="G164" s="1467"/>
      <c r="H164" s="1500"/>
      <c r="I164" s="1390"/>
    </row>
    <row r="165" spans="1:9" ht="14.1" customHeight="1" thickBot="1">
      <c r="A165" s="1487" t="s">
        <v>1068</v>
      </c>
      <c r="B165" s="1394"/>
      <c r="C165" s="1394"/>
      <c r="D165" s="1501">
        <f>SUM(D162:D164)</f>
        <v>292423</v>
      </c>
      <c r="E165" s="1502" t="s">
        <v>1069</v>
      </c>
      <c r="F165" s="1394"/>
      <c r="G165" s="1489"/>
      <c r="H165" s="1503">
        <f>SUM(H162:H163)</f>
        <v>292423</v>
      </c>
      <c r="I165" s="1390"/>
    </row>
    <row r="166" spans="1:9" ht="14.1" customHeight="1" thickBot="1">
      <c r="A166" s="1504" t="s">
        <v>1117</v>
      </c>
      <c r="B166" s="1505"/>
      <c r="C166" s="1397"/>
      <c r="D166" s="1506"/>
      <c r="E166" s="1507"/>
      <c r="F166" s="1507"/>
      <c r="G166" s="1508"/>
      <c r="H166" s="1558"/>
      <c r="I166" s="1390"/>
    </row>
    <row r="167" spans="1:9" ht="14.1" customHeight="1" thickBot="1">
      <c r="A167" s="1482" t="s">
        <v>1070</v>
      </c>
      <c r="B167" s="1398"/>
      <c r="C167" s="1398"/>
      <c r="D167" s="1398"/>
      <c r="E167" s="1396"/>
      <c r="F167" s="1396"/>
      <c r="G167" s="1496"/>
      <c r="H167" s="1509"/>
      <c r="I167" s="1390"/>
    </row>
    <row r="168" spans="1:9" ht="14.1" customHeight="1" thickBot="1">
      <c r="A168" s="1482" t="s">
        <v>1071</v>
      </c>
      <c r="B168" s="1393"/>
      <c r="C168" s="1393"/>
      <c r="D168" s="1510"/>
      <c r="E168" s="1393"/>
      <c r="F168" s="1393"/>
      <c r="G168" s="1485">
        <f>H162-D162</f>
        <v>-544856.4135021097</v>
      </c>
      <c r="H168" s="1511"/>
      <c r="I168" s="1390"/>
    </row>
    <row r="169" spans="1:9" ht="14.1" customHeight="1" thickBot="1">
      <c r="A169" s="1482" t="s">
        <v>1072</v>
      </c>
      <c r="B169" s="1393"/>
      <c r="C169" s="1393"/>
      <c r="D169" s="1512"/>
      <c r="E169" s="1393"/>
      <c r="F169" s="1393"/>
      <c r="G169" s="1485">
        <f>D163-H163</f>
        <v>1048438.5864978903</v>
      </c>
      <c r="H169" s="1511"/>
      <c r="I169" s="1390"/>
    </row>
    <row r="170" spans="1:9" ht="14.1" customHeight="1">
      <c r="A170" s="1482" t="s">
        <v>1073</v>
      </c>
      <c r="B170" s="1393"/>
      <c r="C170" s="1393"/>
      <c r="D170" s="1510"/>
      <c r="E170" s="1393"/>
      <c r="F170" s="1393"/>
      <c r="G170" s="1485">
        <f>G168-G169</f>
        <v>-1593295</v>
      </c>
      <c r="H170" s="1511"/>
      <c r="I170" s="1390"/>
    </row>
    <row r="171" spans="1:9" ht="14.1" customHeight="1">
      <c r="A171" s="1513" t="s">
        <v>1118</v>
      </c>
      <c r="B171" s="1399"/>
      <c r="C171" s="1399"/>
      <c r="D171" s="1399"/>
      <c r="E171" s="1399"/>
      <c r="F171" s="1399"/>
      <c r="G171" s="1399"/>
      <c r="H171" s="1399"/>
      <c r="I171" s="1390"/>
    </row>
    <row r="172" spans="1:9" ht="14.1" customHeight="1">
      <c r="A172" s="1658" t="s">
        <v>1074</v>
      </c>
      <c r="B172" s="1658"/>
      <c r="C172" s="1658"/>
      <c r="D172" s="1658"/>
      <c r="E172" s="1463" t="s">
        <v>1075</v>
      </c>
      <c r="F172" s="1463"/>
      <c r="G172" s="1514" t="s">
        <v>1076</v>
      </c>
      <c r="H172" s="1514"/>
      <c r="I172" s="1390"/>
    </row>
    <row r="173" spans="1:9" ht="14.1" customHeight="1">
      <c r="A173" s="1652" t="s">
        <v>1077</v>
      </c>
      <c r="B173" s="1652"/>
      <c r="C173" s="1652"/>
      <c r="D173" s="1515">
        <f>H162/D162</f>
        <v>0.1976786725046242</v>
      </c>
      <c r="E173" s="1462" t="s">
        <v>1078</v>
      </c>
      <c r="F173" s="1462"/>
      <c r="G173" s="1516" t="s">
        <v>1079</v>
      </c>
      <c r="H173" s="1516"/>
      <c r="I173" s="1390"/>
    </row>
    <row r="174" spans="1:9" ht="14.1" customHeight="1">
      <c r="A174" s="1652" t="s">
        <v>1080</v>
      </c>
      <c r="B174" s="1652"/>
      <c r="C174" s="1652"/>
      <c r="D174" s="1515">
        <f>H155/SUM(H156:H157)</f>
        <v>0.47554680293211704</v>
      </c>
      <c r="E174" s="1462" t="s">
        <v>1081</v>
      </c>
      <c r="F174" s="1462"/>
      <c r="G174" s="1516" t="s">
        <v>1082</v>
      </c>
      <c r="H174" s="1516"/>
      <c r="I174" s="1390"/>
    </row>
    <row r="175" spans="1:9" ht="14.1" customHeight="1">
      <c r="A175" s="1652" t="s">
        <v>1083</v>
      </c>
      <c r="B175" s="1652"/>
      <c r="C175" s="1652"/>
      <c r="D175" s="1515">
        <f>H155/H159</f>
        <v>0.32228513659284769</v>
      </c>
      <c r="E175" s="1462" t="s">
        <v>1084</v>
      </c>
      <c r="F175" s="1462"/>
      <c r="G175" s="1516" t="s">
        <v>1085</v>
      </c>
      <c r="H175" s="1516"/>
      <c r="I175" s="1390"/>
    </row>
    <row r="176" spans="1:9" ht="14.1" customHeight="1">
      <c r="A176" s="1652" t="s">
        <v>1086</v>
      </c>
      <c r="B176" s="1652"/>
      <c r="C176" s="1652"/>
      <c r="D176" s="1515">
        <f>D149/D150</f>
        <v>2.3223207476840058</v>
      </c>
      <c r="E176" s="1462" t="s">
        <v>1087</v>
      </c>
      <c r="F176" s="1462"/>
      <c r="G176" s="1516" t="s">
        <v>1088</v>
      </c>
      <c r="H176" s="1516"/>
      <c r="I176" s="1390"/>
    </row>
    <row r="177" spans="1:9" ht="14.1" customHeight="1">
      <c r="A177" s="1652" t="s">
        <v>1089</v>
      </c>
      <c r="B177" s="1652"/>
      <c r="C177" s="1652"/>
      <c r="D177" s="1515">
        <f>(D135+D141)/H157</f>
        <v>-2.197991459839133</v>
      </c>
      <c r="E177" s="1462" t="s">
        <v>1090</v>
      </c>
      <c r="F177" s="1462"/>
      <c r="G177" s="1516" t="s">
        <v>1091</v>
      </c>
      <c r="H177" s="1516"/>
      <c r="I177" s="1390"/>
    </row>
    <row r="178" spans="1:9" ht="14.1" customHeight="1">
      <c r="A178" s="1652" t="s">
        <v>1092</v>
      </c>
      <c r="B178" s="1652"/>
      <c r="C178" s="1652"/>
      <c r="D178" s="1515">
        <f>Bilancloture!D163/Bilancloture!H163</f>
        <v>7.6281607908724913</v>
      </c>
      <c r="E178" s="1462" t="s">
        <v>1093</v>
      </c>
      <c r="F178" s="1462"/>
      <c r="G178" s="1516" t="s">
        <v>1094</v>
      </c>
      <c r="H178" s="1516"/>
      <c r="I178" s="1390"/>
    </row>
    <row r="179" spans="1:9" ht="14.1" customHeight="1">
      <c r="A179" s="1652" t="s">
        <v>1095</v>
      </c>
      <c r="B179" s="1652"/>
      <c r="C179" s="1652"/>
      <c r="D179" s="1515">
        <f>D158/H157*100</f>
        <v>-1011.6961269290938</v>
      </c>
      <c r="E179" s="1462" t="s">
        <v>1096</v>
      </c>
      <c r="F179" s="1462"/>
      <c r="G179" s="1516" t="s">
        <v>1097</v>
      </c>
      <c r="H179" s="1516"/>
      <c r="I179" s="1390"/>
    </row>
    <row r="180" spans="1:9" ht="14.1" customHeight="1">
      <c r="A180" s="1652" t="s">
        <v>1098</v>
      </c>
      <c r="B180" s="1652"/>
      <c r="C180" s="1652"/>
      <c r="D180" s="1515">
        <f>H27/H6*100</f>
        <v>-6545.9704641350218</v>
      </c>
      <c r="E180" s="1462" t="s">
        <v>1099</v>
      </c>
      <c r="F180" s="1462"/>
      <c r="G180" s="1516" t="s">
        <v>1100</v>
      </c>
      <c r="H180" s="1516"/>
      <c r="I180" s="1390"/>
    </row>
    <row r="181" spans="1:9" ht="14.1" customHeight="1">
      <c r="A181" s="1652" t="s">
        <v>1101</v>
      </c>
      <c r="B181" s="1652"/>
      <c r="C181" s="1652"/>
      <c r="D181" s="1515">
        <f>H136/H155*100</f>
        <v>0</v>
      </c>
      <c r="E181" s="1462" t="s">
        <v>1102</v>
      </c>
      <c r="F181" s="1462"/>
      <c r="G181" s="1516" t="s">
        <v>1103</v>
      </c>
      <c r="H181" s="1516"/>
      <c r="I181" s="1390"/>
    </row>
    <row r="182" spans="1:9" ht="14.1" customHeight="1">
      <c r="A182" s="1652" t="s">
        <v>1104</v>
      </c>
      <c r="B182" s="1652"/>
      <c r="C182" s="1652"/>
      <c r="D182" s="1515">
        <f>D165/SUM(H156:H157)</f>
        <v>1.475546802932117</v>
      </c>
      <c r="E182" s="1462" t="s">
        <v>1105</v>
      </c>
      <c r="F182" s="1462"/>
      <c r="G182" s="1516" t="s">
        <v>1106</v>
      </c>
      <c r="H182" s="1516"/>
      <c r="I182" s="1390"/>
    </row>
  </sheetData>
  <sheetProtection password="F1F8" sheet="1" objects="1" scenarios="1"/>
  <mergeCells count="36">
    <mergeCell ref="A181:C181"/>
    <mergeCell ref="A182:C182"/>
    <mergeCell ref="A178:C178"/>
    <mergeCell ref="A179:C179"/>
    <mergeCell ref="A180:C180"/>
    <mergeCell ref="A176:C176"/>
    <mergeCell ref="A177:C177"/>
    <mergeCell ref="A172:D172"/>
    <mergeCell ref="A173:C173"/>
    <mergeCell ref="A174:C174"/>
    <mergeCell ref="A175:C175"/>
    <mergeCell ref="A1:H1"/>
    <mergeCell ref="A4:H4"/>
    <mergeCell ref="E125:F125"/>
    <mergeCell ref="E126:F126"/>
    <mergeCell ref="E127:F127"/>
    <mergeCell ref="E128:F128"/>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9:C149"/>
    <mergeCell ref="A150:C150"/>
    <mergeCell ref="A144:C144"/>
    <mergeCell ref="A145:C145"/>
    <mergeCell ref="A146:C146"/>
    <mergeCell ref="A147:C147"/>
    <mergeCell ref="A148:C148"/>
  </mergeCell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sheetPr codeName="Feuil7"/>
  <dimension ref="A1:AMI45"/>
  <sheetViews>
    <sheetView topLeftCell="B1" workbookViewId="0">
      <pane ySplit="1" topLeftCell="A2" activePane="bottomLeft" state="frozen"/>
      <selection activeCell="B1" sqref="B1"/>
      <selection pane="bottomLeft" activeCell="H9" sqref="H9"/>
    </sheetView>
  </sheetViews>
  <sheetFormatPr baseColWidth="10" defaultRowHeight="15"/>
  <cols>
    <col min="1" max="1" width="8" style="136" customWidth="1"/>
    <col min="2" max="2" width="46.42578125" style="136" customWidth="1"/>
    <col min="3" max="3" width="32.140625" style="136" customWidth="1"/>
    <col min="4" max="4" width="7.28515625" style="136" customWidth="1"/>
    <col min="5" max="5" width="12" style="136" customWidth="1"/>
    <col min="6" max="6" width="10.5703125" style="136" customWidth="1"/>
    <col min="7" max="7" width="11.85546875" style="136" customWidth="1"/>
    <col min="8" max="1023" width="12.28515625" style="136" customWidth="1"/>
    <col min="1024" max="16384" width="11.42578125" style="152"/>
  </cols>
  <sheetData>
    <row r="1" spans="1:7" ht="27.75" customHeight="1">
      <c r="B1" s="1662" t="s">
        <v>1576</v>
      </c>
      <c r="C1" s="1662"/>
      <c r="D1" s="1662"/>
      <c r="E1" s="1662"/>
    </row>
    <row r="3" spans="1:7">
      <c r="A3" s="359" t="s">
        <v>1491</v>
      </c>
      <c r="B3" s="360"/>
      <c r="C3" s="360"/>
      <c r="D3" s="360"/>
      <c r="E3" s="360"/>
      <c r="F3" s="360"/>
      <c r="G3" s="361"/>
    </row>
    <row r="4" spans="1:7">
      <c r="A4" s="168">
        <f>Balance!A353</f>
        <v>44311</v>
      </c>
      <c r="B4" s="151" t="str">
        <f>Balance!B353</f>
        <v>T.V.A. facturée sur ventes à taux réduit</v>
      </c>
      <c r="C4" s="169"/>
      <c r="D4" s="171"/>
      <c r="E4" s="171"/>
      <c r="F4" s="171">
        <f>Balance!E353</f>
        <v>100010</v>
      </c>
      <c r="G4" s="172"/>
    </row>
    <row r="5" spans="1:7">
      <c r="A5" s="168">
        <f>Balance!A354</f>
        <v>44312</v>
      </c>
      <c r="B5" s="151" t="str">
        <f>Balance!B354</f>
        <v>T.V.A. facturée sur ventes à taux normal</v>
      </c>
      <c r="C5" s="169"/>
      <c r="D5" s="170"/>
      <c r="E5" s="170"/>
      <c r="F5" s="171">
        <f>Balance!E354</f>
        <v>4728</v>
      </c>
      <c r="G5" s="172"/>
    </row>
    <row r="6" spans="1:7">
      <c r="A6" s="168">
        <f>Balance!A355</f>
        <v>44313</v>
      </c>
      <c r="B6" s="151" t="str">
        <f>Balance!B355</f>
        <v>T.V.A. facturée sur ventes à  taux fort</v>
      </c>
      <c r="C6" s="169"/>
      <c r="D6" s="170"/>
      <c r="E6" s="170"/>
      <c r="F6" s="171">
        <f>Balance!E355</f>
        <v>0</v>
      </c>
      <c r="G6" s="172"/>
    </row>
    <row r="7" spans="1:7">
      <c r="A7" s="173" t="str">
        <f>Balance!A356</f>
        <v>Totaux</v>
      </c>
      <c r="B7" s="264"/>
      <c r="C7" s="174"/>
      <c r="D7" s="175"/>
      <c r="E7" s="175"/>
      <c r="F7" s="176">
        <f>SUM(F4:F6)</f>
        <v>104738</v>
      </c>
      <c r="G7" s="262"/>
    </row>
    <row r="8" spans="1:7">
      <c r="A8" s="168">
        <f>Balance!A357</f>
        <v>44321</v>
      </c>
      <c r="B8" s="151" t="str">
        <f>Balance!B357</f>
        <v>T.V.A. facturée sur services à taux réduit</v>
      </c>
      <c r="C8" s="169"/>
      <c r="D8" s="170"/>
      <c r="E8" s="170"/>
      <c r="F8" s="171">
        <f>Balance!E357</f>
        <v>0</v>
      </c>
      <c r="G8" s="172"/>
    </row>
    <row r="9" spans="1:7">
      <c r="A9" s="168">
        <f>Balance!A358</f>
        <v>44322</v>
      </c>
      <c r="B9" s="151" t="str">
        <f>Balance!B358</f>
        <v>T.V.A. facturée sur services à taux normal</v>
      </c>
      <c r="C9" s="169"/>
      <c r="D9" s="170"/>
      <c r="E9" s="170"/>
      <c r="F9" s="171">
        <f>Balance!E358</f>
        <v>120</v>
      </c>
      <c r="G9" s="172"/>
    </row>
    <row r="10" spans="1:7">
      <c r="A10" s="168">
        <f>Balance!A359</f>
        <v>44323</v>
      </c>
      <c r="B10" s="151" t="str">
        <f>Balance!B359</f>
        <v>T.V.A. facturée sur services à taux fort</v>
      </c>
      <c r="C10" s="169"/>
      <c r="D10" s="170"/>
      <c r="E10" s="170"/>
      <c r="F10" s="171">
        <f>Balance!E359</f>
        <v>0</v>
      </c>
      <c r="G10" s="172"/>
    </row>
    <row r="11" spans="1:7">
      <c r="A11" s="173" t="str">
        <f>Balance!A360</f>
        <v>Totaux</v>
      </c>
      <c r="B11" s="264"/>
      <c r="C11" s="174"/>
      <c r="D11" s="175"/>
      <c r="E11" s="175"/>
      <c r="F11" s="176">
        <f>SUM(F8:F10)</f>
        <v>120</v>
      </c>
      <c r="G11" s="262"/>
    </row>
    <row r="12" spans="1:7">
      <c r="A12" s="168">
        <f>Balance!A361</f>
        <v>44331</v>
      </c>
      <c r="B12" s="151" t="str">
        <f>Balance!B361</f>
        <v>T.V.A. facturée sur vente intracommunautaireà taux réduit</v>
      </c>
      <c r="C12" s="169" t="s">
        <v>795</v>
      </c>
      <c r="D12" s="171">
        <f>Balance!E361</f>
        <v>0</v>
      </c>
      <c r="E12" s="170"/>
      <c r="F12" s="169"/>
      <c r="G12" s="172"/>
    </row>
    <row r="13" spans="1:7">
      <c r="A13" s="168">
        <f>Balance!A362</f>
        <v>44332</v>
      </c>
      <c r="B13" s="151" t="str">
        <f>Balance!B362</f>
        <v>T.V.A. facturée sur vente intracommunautaireà taux normal</v>
      </c>
      <c r="C13" s="169" t="s">
        <v>795</v>
      </c>
      <c r="D13" s="171">
        <f>Balance!E362</f>
        <v>0</v>
      </c>
      <c r="E13" s="170"/>
      <c r="F13" s="169"/>
      <c r="G13" s="172"/>
    </row>
    <row r="14" spans="1:7">
      <c r="A14" s="168">
        <f>Balance!A363</f>
        <v>44333</v>
      </c>
      <c r="B14" s="151" t="str">
        <f>Balance!B363</f>
        <v>T.V.A. facturée sur vente intracommunautaireà taux fort</v>
      </c>
      <c r="C14" s="169" t="s">
        <v>795</v>
      </c>
      <c r="D14" s="171">
        <f>Balance!E363</f>
        <v>0</v>
      </c>
      <c r="E14" s="170"/>
      <c r="F14" s="169"/>
      <c r="G14" s="172"/>
    </row>
    <row r="15" spans="1:7">
      <c r="A15" s="173" t="str">
        <f>Balance!A364</f>
        <v>Totaux</v>
      </c>
      <c r="B15" s="264"/>
      <c r="C15" s="174"/>
      <c r="D15" s="175"/>
      <c r="E15" s="175"/>
      <c r="F15" s="176">
        <f>SUM(F12:F14)</f>
        <v>0</v>
      </c>
      <c r="G15" s="262"/>
    </row>
    <row r="16" spans="1:7">
      <c r="A16" s="168">
        <f>Balance!A365</f>
        <v>44341</v>
      </c>
      <c r="B16" s="151" t="str">
        <f>Balance!B365</f>
        <v>T.V.A.  produit livrée à soi-même à taux réduit</v>
      </c>
      <c r="C16" s="169"/>
      <c r="D16" s="170"/>
      <c r="E16" s="170"/>
      <c r="F16" s="171">
        <f>Balance!E365</f>
        <v>0</v>
      </c>
      <c r="G16" s="172"/>
    </row>
    <row r="17" spans="1:1023">
      <c r="A17" s="168">
        <f>Balance!A366</f>
        <v>44342</v>
      </c>
      <c r="B17" s="151" t="str">
        <f>Balance!B366</f>
        <v>T.V.A.  produit livrée à soi-même à taux normal</v>
      </c>
      <c r="C17" s="169"/>
      <c r="D17" s="170"/>
      <c r="E17" s="170"/>
      <c r="F17" s="171">
        <f>Balance!E366</f>
        <v>0</v>
      </c>
      <c r="G17" s="172"/>
    </row>
    <row r="18" spans="1:1023">
      <c r="A18" s="168">
        <f>Balance!A367</f>
        <v>44343</v>
      </c>
      <c r="B18" s="151" t="str">
        <f>Balance!B367</f>
        <v>T.V.A.  produit livrée à soi-même à taux fort</v>
      </c>
      <c r="C18" s="169"/>
      <c r="D18" s="170"/>
      <c r="E18" s="170"/>
      <c r="F18" s="171">
        <f>Balance!E367</f>
        <v>0</v>
      </c>
      <c r="G18" s="172"/>
    </row>
    <row r="19" spans="1:1023">
      <c r="A19" s="173">
        <f>Balance!A369</f>
        <v>44511</v>
      </c>
      <c r="B19" s="264"/>
      <c r="C19" s="174"/>
      <c r="D19" s="175"/>
      <c r="E19" s="175"/>
      <c r="F19" s="176">
        <f>SUM(F16:F18)</f>
        <v>0</v>
      </c>
      <c r="G19" s="262"/>
    </row>
    <row r="20" spans="1:1023">
      <c r="A20" s="177"/>
      <c r="B20" s="178" t="s">
        <v>776</v>
      </c>
      <c r="C20" s="179"/>
      <c r="D20" s="180"/>
      <c r="E20" s="180"/>
      <c r="F20" s="180">
        <f>SUM(F7,F11,F15,F19)</f>
        <v>104858</v>
      </c>
      <c r="G20" s="181"/>
    </row>
    <row r="21" spans="1:1023">
      <c r="A21" s="267"/>
      <c r="B21" s="211"/>
      <c r="C21" s="197"/>
      <c r="D21" s="171"/>
      <c r="E21" s="171"/>
      <c r="F21" s="171"/>
      <c r="G21" s="183"/>
    </row>
    <row r="22" spans="1:1023">
      <c r="A22" s="267"/>
      <c r="B22" s="211"/>
      <c r="C22" s="197" t="s">
        <v>799</v>
      </c>
      <c r="D22" s="171"/>
      <c r="E22" s="171"/>
      <c r="F22" s="171"/>
      <c r="G22" s="183">
        <f>Balance!E381</f>
        <v>0</v>
      </c>
    </row>
    <row r="23" spans="1:1023">
      <c r="A23" s="267"/>
      <c r="B23" s="211"/>
      <c r="C23" s="197" t="s">
        <v>800</v>
      </c>
      <c r="D23" s="171"/>
      <c r="E23" s="171"/>
      <c r="F23" s="171"/>
      <c r="G23" s="183">
        <f>Balance!E382</f>
        <v>8.5864978902953588</v>
      </c>
    </row>
    <row r="24" spans="1:1023">
      <c r="A24" s="267"/>
      <c r="B24" s="211"/>
      <c r="C24" s="197" t="s">
        <v>801</v>
      </c>
      <c r="D24" s="171"/>
      <c r="E24" s="171"/>
      <c r="F24" s="171"/>
      <c r="G24" s="183">
        <f>Balance!E383</f>
        <v>0</v>
      </c>
    </row>
    <row r="25" spans="1:1023">
      <c r="A25" s="184"/>
      <c r="B25" s="185" t="s">
        <v>43</v>
      </c>
      <c r="C25" s="185"/>
      <c r="D25" s="186"/>
      <c r="E25" s="186"/>
      <c r="F25" s="186"/>
      <c r="G25" s="187">
        <f>SUM(G22:G24)</f>
        <v>8.5864978902953588</v>
      </c>
    </row>
    <row r="26" spans="1:1023" s="325" customFormat="1" ht="25.5">
      <c r="A26" s="321"/>
      <c r="B26" s="294">
        <f>Balance!A369</f>
        <v>44511</v>
      </c>
      <c r="C26" s="294" t="str">
        <f>Balance!B369</f>
        <v>T.V.A. récupérable sur immobilisations à taux réduit</v>
      </c>
      <c r="D26" s="323"/>
      <c r="E26" s="323"/>
      <c r="F26" s="323"/>
      <c r="G26" s="324">
        <f>Balance!E369</f>
        <v>0</v>
      </c>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c r="FF26" s="156"/>
      <c r="FG26" s="156"/>
      <c r="FH26" s="156"/>
      <c r="FI26" s="156"/>
      <c r="FJ26" s="156"/>
      <c r="FK26" s="156"/>
      <c r="FL26" s="156"/>
      <c r="FM26" s="156"/>
      <c r="FN26" s="156"/>
      <c r="FO26" s="156"/>
      <c r="FP26" s="156"/>
      <c r="FQ26" s="156"/>
      <c r="FR26" s="156"/>
      <c r="FS26" s="156"/>
      <c r="FT26" s="156"/>
      <c r="FU26" s="156"/>
      <c r="FV26" s="156"/>
      <c r="FW26" s="156"/>
      <c r="FX26" s="156"/>
      <c r="FY26" s="156"/>
      <c r="FZ26" s="156"/>
      <c r="GA26" s="156"/>
      <c r="GB26" s="156"/>
      <c r="GC26" s="156"/>
      <c r="GD26" s="156"/>
      <c r="GE26" s="156"/>
      <c r="GF26" s="156"/>
      <c r="GG26" s="156"/>
      <c r="GH26" s="156"/>
      <c r="GI26" s="156"/>
      <c r="GJ26" s="156"/>
      <c r="GK26" s="156"/>
      <c r="GL26" s="156"/>
      <c r="GM26" s="156"/>
      <c r="GN26" s="156"/>
      <c r="GO26" s="156"/>
      <c r="GP26" s="156"/>
      <c r="GQ26" s="156"/>
      <c r="GR26" s="156"/>
      <c r="GS26" s="156"/>
      <c r="GT26" s="156"/>
      <c r="GU26" s="156"/>
      <c r="GV26" s="156"/>
      <c r="GW26" s="156"/>
      <c r="GX26" s="156"/>
      <c r="GY26" s="156"/>
      <c r="GZ26" s="156"/>
      <c r="HA26" s="156"/>
      <c r="HB26" s="156"/>
      <c r="HC26" s="156"/>
      <c r="HD26" s="156"/>
      <c r="HE26" s="156"/>
      <c r="HF26" s="156"/>
      <c r="HG26" s="156"/>
      <c r="HH26" s="156"/>
      <c r="HI26" s="156"/>
      <c r="HJ26" s="156"/>
      <c r="HK26" s="156"/>
      <c r="HL26" s="156"/>
      <c r="HM26" s="156"/>
      <c r="HN26" s="156"/>
      <c r="HO26" s="156"/>
      <c r="HP26" s="156"/>
      <c r="HQ26" s="156"/>
      <c r="HR26" s="156"/>
      <c r="HS26" s="156"/>
      <c r="HT26" s="156"/>
      <c r="HU26" s="156"/>
      <c r="HV26" s="156"/>
      <c r="HW26" s="156"/>
      <c r="HX26" s="156"/>
      <c r="HY26" s="156"/>
      <c r="HZ26" s="156"/>
      <c r="IA26" s="156"/>
      <c r="IB26" s="156"/>
      <c r="IC26" s="156"/>
      <c r="ID26" s="156"/>
      <c r="IE26" s="156"/>
      <c r="IF26" s="156"/>
      <c r="IG26" s="156"/>
      <c r="IH26" s="156"/>
      <c r="II26" s="156"/>
      <c r="IJ26" s="156"/>
      <c r="IK26" s="156"/>
      <c r="IL26" s="156"/>
      <c r="IM26" s="156"/>
      <c r="IN26" s="156"/>
      <c r="IO26" s="156"/>
      <c r="IP26" s="156"/>
      <c r="IQ26" s="156"/>
      <c r="IR26" s="156"/>
      <c r="IS26" s="156"/>
      <c r="IT26" s="156"/>
      <c r="IU26" s="156"/>
      <c r="IV26" s="156"/>
      <c r="IW26" s="156"/>
      <c r="IX26" s="156"/>
      <c r="IY26" s="156"/>
      <c r="IZ26" s="156"/>
      <c r="JA26" s="156"/>
      <c r="JB26" s="156"/>
      <c r="JC26" s="156"/>
      <c r="JD26" s="156"/>
      <c r="JE26" s="156"/>
      <c r="JF26" s="156"/>
      <c r="JG26" s="156"/>
      <c r="JH26" s="156"/>
      <c r="JI26" s="156"/>
      <c r="JJ26" s="156"/>
      <c r="JK26" s="156"/>
      <c r="JL26" s="156"/>
      <c r="JM26" s="156"/>
      <c r="JN26" s="156"/>
      <c r="JO26" s="156"/>
      <c r="JP26" s="156"/>
      <c r="JQ26" s="156"/>
      <c r="JR26" s="156"/>
      <c r="JS26" s="156"/>
      <c r="JT26" s="156"/>
      <c r="JU26" s="156"/>
      <c r="JV26" s="156"/>
      <c r="JW26" s="156"/>
      <c r="JX26" s="156"/>
      <c r="JY26" s="156"/>
      <c r="JZ26" s="156"/>
      <c r="KA26" s="156"/>
      <c r="KB26" s="156"/>
      <c r="KC26" s="156"/>
      <c r="KD26" s="156"/>
      <c r="KE26" s="156"/>
      <c r="KF26" s="156"/>
      <c r="KG26" s="156"/>
      <c r="KH26" s="156"/>
      <c r="KI26" s="156"/>
      <c r="KJ26" s="156"/>
      <c r="KK26" s="156"/>
      <c r="KL26" s="156"/>
      <c r="KM26" s="156"/>
      <c r="KN26" s="156"/>
      <c r="KO26" s="156"/>
      <c r="KP26" s="156"/>
      <c r="KQ26" s="156"/>
      <c r="KR26" s="156"/>
      <c r="KS26" s="156"/>
      <c r="KT26" s="156"/>
      <c r="KU26" s="156"/>
      <c r="KV26" s="156"/>
      <c r="KW26" s="156"/>
      <c r="KX26" s="156"/>
      <c r="KY26" s="156"/>
      <c r="KZ26" s="156"/>
      <c r="LA26" s="156"/>
      <c r="LB26" s="156"/>
      <c r="LC26" s="156"/>
      <c r="LD26" s="156"/>
      <c r="LE26" s="156"/>
      <c r="LF26" s="156"/>
      <c r="LG26" s="156"/>
      <c r="LH26" s="156"/>
      <c r="LI26" s="156"/>
      <c r="LJ26" s="156"/>
      <c r="LK26" s="156"/>
      <c r="LL26" s="156"/>
      <c r="LM26" s="156"/>
      <c r="LN26" s="156"/>
      <c r="LO26" s="156"/>
      <c r="LP26" s="156"/>
      <c r="LQ26" s="156"/>
      <c r="LR26" s="156"/>
      <c r="LS26" s="156"/>
      <c r="LT26" s="156"/>
      <c r="LU26" s="156"/>
      <c r="LV26" s="156"/>
      <c r="LW26" s="156"/>
      <c r="LX26" s="156"/>
      <c r="LY26" s="156"/>
      <c r="LZ26" s="156"/>
      <c r="MA26" s="156"/>
      <c r="MB26" s="156"/>
      <c r="MC26" s="156"/>
      <c r="MD26" s="156"/>
      <c r="ME26" s="156"/>
      <c r="MF26" s="156"/>
      <c r="MG26" s="156"/>
      <c r="MH26" s="156"/>
      <c r="MI26" s="156"/>
      <c r="MJ26" s="156"/>
      <c r="MK26" s="156"/>
      <c r="ML26" s="156"/>
      <c r="MM26" s="156"/>
      <c r="MN26" s="156"/>
      <c r="MO26" s="156"/>
      <c r="MP26" s="156"/>
      <c r="MQ26" s="156"/>
      <c r="MR26" s="156"/>
      <c r="MS26" s="156"/>
      <c r="MT26" s="156"/>
      <c r="MU26" s="156"/>
      <c r="MV26" s="156"/>
      <c r="MW26" s="156"/>
      <c r="MX26" s="156"/>
      <c r="MY26" s="156"/>
      <c r="MZ26" s="156"/>
      <c r="NA26" s="156"/>
      <c r="NB26" s="156"/>
      <c r="NC26" s="156"/>
      <c r="ND26" s="156"/>
      <c r="NE26" s="156"/>
      <c r="NF26" s="156"/>
      <c r="NG26" s="156"/>
      <c r="NH26" s="156"/>
      <c r="NI26" s="156"/>
      <c r="NJ26" s="156"/>
      <c r="NK26" s="156"/>
      <c r="NL26" s="156"/>
      <c r="NM26" s="156"/>
      <c r="NN26" s="156"/>
      <c r="NO26" s="156"/>
      <c r="NP26" s="156"/>
      <c r="NQ26" s="156"/>
      <c r="NR26" s="156"/>
      <c r="NS26" s="156"/>
      <c r="NT26" s="156"/>
      <c r="NU26" s="156"/>
      <c r="NV26" s="156"/>
      <c r="NW26" s="156"/>
      <c r="NX26" s="156"/>
      <c r="NY26" s="156"/>
      <c r="NZ26" s="156"/>
      <c r="OA26" s="156"/>
      <c r="OB26" s="156"/>
      <c r="OC26" s="156"/>
      <c r="OD26" s="156"/>
      <c r="OE26" s="156"/>
      <c r="OF26" s="156"/>
      <c r="OG26" s="156"/>
      <c r="OH26" s="156"/>
      <c r="OI26" s="156"/>
      <c r="OJ26" s="156"/>
      <c r="OK26" s="156"/>
      <c r="OL26" s="156"/>
      <c r="OM26" s="156"/>
      <c r="ON26" s="156"/>
      <c r="OO26" s="156"/>
      <c r="OP26" s="156"/>
      <c r="OQ26" s="156"/>
      <c r="OR26" s="156"/>
      <c r="OS26" s="156"/>
      <c r="OT26" s="156"/>
      <c r="OU26" s="156"/>
      <c r="OV26" s="156"/>
      <c r="OW26" s="156"/>
      <c r="OX26" s="156"/>
      <c r="OY26" s="156"/>
      <c r="OZ26" s="156"/>
      <c r="PA26" s="156"/>
      <c r="PB26" s="156"/>
      <c r="PC26" s="156"/>
      <c r="PD26" s="156"/>
      <c r="PE26" s="156"/>
      <c r="PF26" s="156"/>
      <c r="PG26" s="156"/>
      <c r="PH26" s="156"/>
      <c r="PI26" s="156"/>
      <c r="PJ26" s="156"/>
      <c r="PK26" s="156"/>
      <c r="PL26" s="156"/>
      <c r="PM26" s="156"/>
      <c r="PN26" s="156"/>
      <c r="PO26" s="156"/>
      <c r="PP26" s="156"/>
      <c r="PQ26" s="156"/>
      <c r="PR26" s="156"/>
      <c r="PS26" s="156"/>
      <c r="PT26" s="156"/>
      <c r="PU26" s="156"/>
      <c r="PV26" s="156"/>
      <c r="PW26" s="156"/>
      <c r="PX26" s="156"/>
      <c r="PY26" s="156"/>
      <c r="PZ26" s="156"/>
      <c r="QA26" s="156"/>
      <c r="QB26" s="156"/>
      <c r="QC26" s="156"/>
      <c r="QD26" s="156"/>
      <c r="QE26" s="156"/>
      <c r="QF26" s="156"/>
      <c r="QG26" s="156"/>
      <c r="QH26" s="156"/>
      <c r="QI26" s="156"/>
      <c r="QJ26" s="156"/>
      <c r="QK26" s="156"/>
      <c r="QL26" s="156"/>
      <c r="QM26" s="156"/>
      <c r="QN26" s="156"/>
      <c r="QO26" s="156"/>
      <c r="QP26" s="156"/>
      <c r="QQ26" s="156"/>
      <c r="QR26" s="156"/>
      <c r="QS26" s="156"/>
      <c r="QT26" s="156"/>
      <c r="QU26" s="156"/>
      <c r="QV26" s="156"/>
      <c r="QW26" s="156"/>
      <c r="QX26" s="156"/>
      <c r="QY26" s="156"/>
      <c r="QZ26" s="156"/>
      <c r="RA26" s="156"/>
      <c r="RB26" s="156"/>
      <c r="RC26" s="156"/>
      <c r="RD26" s="156"/>
      <c r="RE26" s="156"/>
      <c r="RF26" s="156"/>
      <c r="RG26" s="156"/>
      <c r="RH26" s="156"/>
      <c r="RI26" s="156"/>
      <c r="RJ26" s="156"/>
      <c r="RK26" s="156"/>
      <c r="RL26" s="156"/>
      <c r="RM26" s="156"/>
      <c r="RN26" s="156"/>
      <c r="RO26" s="156"/>
      <c r="RP26" s="156"/>
      <c r="RQ26" s="156"/>
      <c r="RR26" s="156"/>
      <c r="RS26" s="156"/>
      <c r="RT26" s="156"/>
      <c r="RU26" s="156"/>
      <c r="RV26" s="156"/>
      <c r="RW26" s="156"/>
      <c r="RX26" s="156"/>
      <c r="RY26" s="156"/>
      <c r="RZ26" s="156"/>
      <c r="SA26" s="156"/>
      <c r="SB26" s="156"/>
      <c r="SC26" s="156"/>
      <c r="SD26" s="156"/>
      <c r="SE26" s="156"/>
      <c r="SF26" s="156"/>
      <c r="SG26" s="156"/>
      <c r="SH26" s="156"/>
      <c r="SI26" s="156"/>
      <c r="SJ26" s="156"/>
      <c r="SK26" s="156"/>
      <c r="SL26" s="156"/>
      <c r="SM26" s="156"/>
      <c r="SN26" s="156"/>
      <c r="SO26" s="156"/>
      <c r="SP26" s="156"/>
      <c r="SQ26" s="156"/>
      <c r="SR26" s="156"/>
      <c r="SS26" s="156"/>
      <c r="ST26" s="156"/>
      <c r="SU26" s="156"/>
      <c r="SV26" s="156"/>
      <c r="SW26" s="156"/>
      <c r="SX26" s="156"/>
      <c r="SY26" s="156"/>
      <c r="SZ26" s="156"/>
      <c r="TA26" s="156"/>
      <c r="TB26" s="156"/>
      <c r="TC26" s="156"/>
      <c r="TD26" s="156"/>
      <c r="TE26" s="156"/>
      <c r="TF26" s="156"/>
      <c r="TG26" s="156"/>
      <c r="TH26" s="156"/>
      <c r="TI26" s="156"/>
      <c r="TJ26" s="156"/>
      <c r="TK26" s="156"/>
      <c r="TL26" s="156"/>
      <c r="TM26" s="156"/>
      <c r="TN26" s="156"/>
      <c r="TO26" s="156"/>
      <c r="TP26" s="156"/>
      <c r="TQ26" s="156"/>
      <c r="TR26" s="156"/>
      <c r="TS26" s="156"/>
      <c r="TT26" s="156"/>
      <c r="TU26" s="156"/>
      <c r="TV26" s="156"/>
      <c r="TW26" s="156"/>
      <c r="TX26" s="156"/>
      <c r="TY26" s="156"/>
      <c r="TZ26" s="156"/>
      <c r="UA26" s="156"/>
      <c r="UB26" s="156"/>
      <c r="UC26" s="156"/>
      <c r="UD26" s="156"/>
      <c r="UE26" s="156"/>
      <c r="UF26" s="156"/>
      <c r="UG26" s="156"/>
      <c r="UH26" s="156"/>
      <c r="UI26" s="156"/>
      <c r="UJ26" s="156"/>
      <c r="UK26" s="156"/>
      <c r="UL26" s="156"/>
      <c r="UM26" s="156"/>
      <c r="UN26" s="156"/>
      <c r="UO26" s="156"/>
      <c r="UP26" s="156"/>
      <c r="UQ26" s="156"/>
      <c r="UR26" s="156"/>
      <c r="US26" s="156"/>
      <c r="UT26" s="156"/>
      <c r="UU26" s="156"/>
      <c r="UV26" s="156"/>
      <c r="UW26" s="156"/>
      <c r="UX26" s="156"/>
      <c r="UY26" s="156"/>
      <c r="UZ26" s="156"/>
      <c r="VA26" s="156"/>
      <c r="VB26" s="156"/>
      <c r="VC26" s="156"/>
      <c r="VD26" s="156"/>
      <c r="VE26" s="156"/>
      <c r="VF26" s="156"/>
      <c r="VG26" s="156"/>
      <c r="VH26" s="156"/>
      <c r="VI26" s="156"/>
      <c r="VJ26" s="156"/>
      <c r="VK26" s="156"/>
      <c r="VL26" s="156"/>
      <c r="VM26" s="156"/>
      <c r="VN26" s="156"/>
      <c r="VO26" s="156"/>
      <c r="VP26" s="156"/>
      <c r="VQ26" s="156"/>
      <c r="VR26" s="156"/>
      <c r="VS26" s="156"/>
      <c r="VT26" s="156"/>
      <c r="VU26" s="156"/>
      <c r="VV26" s="156"/>
      <c r="VW26" s="156"/>
      <c r="VX26" s="156"/>
      <c r="VY26" s="156"/>
      <c r="VZ26" s="156"/>
      <c r="WA26" s="156"/>
      <c r="WB26" s="156"/>
      <c r="WC26" s="156"/>
      <c r="WD26" s="156"/>
      <c r="WE26" s="156"/>
      <c r="WF26" s="156"/>
      <c r="WG26" s="156"/>
      <c r="WH26" s="156"/>
      <c r="WI26" s="156"/>
      <c r="WJ26" s="156"/>
      <c r="WK26" s="156"/>
      <c r="WL26" s="156"/>
      <c r="WM26" s="156"/>
      <c r="WN26" s="156"/>
      <c r="WO26" s="156"/>
      <c r="WP26" s="156"/>
      <c r="WQ26" s="156"/>
      <c r="WR26" s="156"/>
      <c r="WS26" s="156"/>
      <c r="WT26" s="156"/>
      <c r="WU26" s="156"/>
      <c r="WV26" s="156"/>
      <c r="WW26" s="156"/>
      <c r="WX26" s="156"/>
      <c r="WY26" s="156"/>
      <c r="WZ26" s="156"/>
      <c r="XA26" s="156"/>
      <c r="XB26" s="156"/>
      <c r="XC26" s="156"/>
      <c r="XD26" s="156"/>
      <c r="XE26" s="156"/>
      <c r="XF26" s="156"/>
      <c r="XG26" s="156"/>
      <c r="XH26" s="156"/>
      <c r="XI26" s="156"/>
      <c r="XJ26" s="156"/>
      <c r="XK26" s="156"/>
      <c r="XL26" s="156"/>
      <c r="XM26" s="156"/>
      <c r="XN26" s="156"/>
      <c r="XO26" s="156"/>
      <c r="XP26" s="156"/>
      <c r="XQ26" s="156"/>
      <c r="XR26" s="156"/>
      <c r="XS26" s="156"/>
      <c r="XT26" s="156"/>
      <c r="XU26" s="156"/>
      <c r="XV26" s="156"/>
      <c r="XW26" s="156"/>
      <c r="XX26" s="156"/>
      <c r="XY26" s="156"/>
      <c r="XZ26" s="156"/>
      <c r="YA26" s="156"/>
      <c r="YB26" s="156"/>
      <c r="YC26" s="156"/>
      <c r="YD26" s="156"/>
      <c r="YE26" s="156"/>
      <c r="YF26" s="156"/>
      <c r="YG26" s="156"/>
      <c r="YH26" s="156"/>
      <c r="YI26" s="156"/>
      <c r="YJ26" s="156"/>
      <c r="YK26" s="156"/>
      <c r="YL26" s="156"/>
      <c r="YM26" s="156"/>
      <c r="YN26" s="156"/>
      <c r="YO26" s="156"/>
      <c r="YP26" s="156"/>
      <c r="YQ26" s="156"/>
      <c r="YR26" s="156"/>
      <c r="YS26" s="156"/>
      <c r="YT26" s="156"/>
      <c r="YU26" s="156"/>
      <c r="YV26" s="156"/>
      <c r="YW26" s="156"/>
      <c r="YX26" s="156"/>
      <c r="YY26" s="156"/>
      <c r="YZ26" s="156"/>
      <c r="ZA26" s="156"/>
      <c r="ZB26" s="156"/>
      <c r="ZC26" s="156"/>
      <c r="ZD26" s="156"/>
      <c r="ZE26" s="156"/>
      <c r="ZF26" s="156"/>
      <c r="ZG26" s="156"/>
      <c r="ZH26" s="156"/>
      <c r="ZI26" s="156"/>
      <c r="ZJ26" s="156"/>
      <c r="ZK26" s="156"/>
      <c r="ZL26" s="156"/>
      <c r="ZM26" s="156"/>
      <c r="ZN26" s="156"/>
      <c r="ZO26" s="156"/>
      <c r="ZP26" s="156"/>
      <c r="ZQ26" s="156"/>
      <c r="ZR26" s="156"/>
      <c r="ZS26" s="156"/>
      <c r="ZT26" s="156"/>
      <c r="ZU26" s="156"/>
      <c r="ZV26" s="156"/>
      <c r="ZW26" s="156"/>
      <c r="ZX26" s="156"/>
      <c r="ZY26" s="156"/>
      <c r="ZZ26" s="156"/>
      <c r="AAA26" s="156"/>
      <c r="AAB26" s="156"/>
      <c r="AAC26" s="156"/>
      <c r="AAD26" s="156"/>
      <c r="AAE26" s="156"/>
      <c r="AAF26" s="156"/>
      <c r="AAG26" s="156"/>
      <c r="AAH26" s="156"/>
      <c r="AAI26" s="156"/>
      <c r="AAJ26" s="156"/>
      <c r="AAK26" s="156"/>
      <c r="AAL26" s="156"/>
      <c r="AAM26" s="156"/>
      <c r="AAN26" s="156"/>
      <c r="AAO26" s="156"/>
      <c r="AAP26" s="156"/>
      <c r="AAQ26" s="156"/>
      <c r="AAR26" s="156"/>
      <c r="AAS26" s="156"/>
      <c r="AAT26" s="156"/>
      <c r="AAU26" s="156"/>
      <c r="AAV26" s="156"/>
      <c r="AAW26" s="156"/>
      <c r="AAX26" s="156"/>
      <c r="AAY26" s="156"/>
      <c r="AAZ26" s="156"/>
      <c r="ABA26" s="156"/>
      <c r="ABB26" s="156"/>
      <c r="ABC26" s="156"/>
      <c r="ABD26" s="156"/>
      <c r="ABE26" s="156"/>
      <c r="ABF26" s="156"/>
      <c r="ABG26" s="156"/>
      <c r="ABH26" s="156"/>
      <c r="ABI26" s="156"/>
      <c r="ABJ26" s="156"/>
      <c r="ABK26" s="156"/>
      <c r="ABL26" s="156"/>
      <c r="ABM26" s="156"/>
      <c r="ABN26" s="156"/>
      <c r="ABO26" s="156"/>
      <c r="ABP26" s="156"/>
      <c r="ABQ26" s="156"/>
      <c r="ABR26" s="156"/>
      <c r="ABS26" s="156"/>
      <c r="ABT26" s="156"/>
      <c r="ABU26" s="156"/>
      <c r="ABV26" s="156"/>
      <c r="ABW26" s="156"/>
      <c r="ABX26" s="156"/>
      <c r="ABY26" s="156"/>
      <c r="ABZ26" s="156"/>
      <c r="ACA26" s="156"/>
      <c r="ACB26" s="156"/>
      <c r="ACC26" s="156"/>
      <c r="ACD26" s="156"/>
      <c r="ACE26" s="156"/>
      <c r="ACF26" s="156"/>
      <c r="ACG26" s="156"/>
      <c r="ACH26" s="156"/>
      <c r="ACI26" s="156"/>
      <c r="ACJ26" s="156"/>
      <c r="ACK26" s="156"/>
      <c r="ACL26" s="156"/>
      <c r="ACM26" s="156"/>
      <c r="ACN26" s="156"/>
      <c r="ACO26" s="156"/>
      <c r="ACP26" s="156"/>
      <c r="ACQ26" s="156"/>
      <c r="ACR26" s="156"/>
      <c r="ACS26" s="156"/>
      <c r="ACT26" s="156"/>
      <c r="ACU26" s="156"/>
      <c r="ACV26" s="156"/>
      <c r="ACW26" s="156"/>
      <c r="ACX26" s="156"/>
      <c r="ACY26" s="156"/>
      <c r="ACZ26" s="156"/>
      <c r="ADA26" s="156"/>
      <c r="ADB26" s="156"/>
      <c r="ADC26" s="156"/>
      <c r="ADD26" s="156"/>
      <c r="ADE26" s="156"/>
      <c r="ADF26" s="156"/>
      <c r="ADG26" s="156"/>
      <c r="ADH26" s="156"/>
      <c r="ADI26" s="156"/>
      <c r="ADJ26" s="156"/>
      <c r="ADK26" s="156"/>
      <c r="ADL26" s="156"/>
      <c r="ADM26" s="156"/>
      <c r="ADN26" s="156"/>
      <c r="ADO26" s="156"/>
      <c r="ADP26" s="156"/>
      <c r="ADQ26" s="156"/>
      <c r="ADR26" s="156"/>
      <c r="ADS26" s="156"/>
      <c r="ADT26" s="156"/>
      <c r="ADU26" s="156"/>
      <c r="ADV26" s="156"/>
      <c r="ADW26" s="156"/>
      <c r="ADX26" s="156"/>
      <c r="ADY26" s="156"/>
      <c r="ADZ26" s="156"/>
      <c r="AEA26" s="156"/>
      <c r="AEB26" s="156"/>
      <c r="AEC26" s="156"/>
      <c r="AED26" s="156"/>
      <c r="AEE26" s="156"/>
      <c r="AEF26" s="156"/>
      <c r="AEG26" s="156"/>
      <c r="AEH26" s="156"/>
      <c r="AEI26" s="156"/>
      <c r="AEJ26" s="156"/>
      <c r="AEK26" s="156"/>
      <c r="AEL26" s="156"/>
      <c r="AEM26" s="156"/>
      <c r="AEN26" s="156"/>
      <c r="AEO26" s="156"/>
      <c r="AEP26" s="156"/>
      <c r="AEQ26" s="156"/>
      <c r="AER26" s="156"/>
      <c r="AES26" s="156"/>
      <c r="AET26" s="156"/>
      <c r="AEU26" s="156"/>
      <c r="AEV26" s="156"/>
      <c r="AEW26" s="156"/>
      <c r="AEX26" s="156"/>
      <c r="AEY26" s="156"/>
      <c r="AEZ26" s="156"/>
      <c r="AFA26" s="156"/>
      <c r="AFB26" s="156"/>
      <c r="AFC26" s="156"/>
      <c r="AFD26" s="156"/>
      <c r="AFE26" s="156"/>
      <c r="AFF26" s="156"/>
      <c r="AFG26" s="156"/>
      <c r="AFH26" s="156"/>
      <c r="AFI26" s="156"/>
      <c r="AFJ26" s="156"/>
      <c r="AFK26" s="156"/>
      <c r="AFL26" s="156"/>
      <c r="AFM26" s="156"/>
      <c r="AFN26" s="156"/>
      <c r="AFO26" s="156"/>
      <c r="AFP26" s="156"/>
      <c r="AFQ26" s="156"/>
      <c r="AFR26" s="156"/>
      <c r="AFS26" s="156"/>
      <c r="AFT26" s="156"/>
      <c r="AFU26" s="156"/>
      <c r="AFV26" s="156"/>
      <c r="AFW26" s="156"/>
      <c r="AFX26" s="156"/>
      <c r="AFY26" s="156"/>
      <c r="AFZ26" s="156"/>
      <c r="AGA26" s="156"/>
      <c r="AGB26" s="156"/>
      <c r="AGC26" s="156"/>
      <c r="AGD26" s="156"/>
      <c r="AGE26" s="156"/>
      <c r="AGF26" s="156"/>
      <c r="AGG26" s="156"/>
      <c r="AGH26" s="156"/>
      <c r="AGI26" s="156"/>
      <c r="AGJ26" s="156"/>
      <c r="AGK26" s="156"/>
      <c r="AGL26" s="156"/>
      <c r="AGM26" s="156"/>
      <c r="AGN26" s="156"/>
      <c r="AGO26" s="156"/>
      <c r="AGP26" s="156"/>
      <c r="AGQ26" s="156"/>
      <c r="AGR26" s="156"/>
      <c r="AGS26" s="156"/>
      <c r="AGT26" s="156"/>
      <c r="AGU26" s="156"/>
      <c r="AGV26" s="156"/>
      <c r="AGW26" s="156"/>
      <c r="AGX26" s="156"/>
      <c r="AGY26" s="156"/>
      <c r="AGZ26" s="156"/>
      <c r="AHA26" s="156"/>
      <c r="AHB26" s="156"/>
      <c r="AHC26" s="156"/>
      <c r="AHD26" s="156"/>
      <c r="AHE26" s="156"/>
      <c r="AHF26" s="156"/>
      <c r="AHG26" s="156"/>
      <c r="AHH26" s="156"/>
      <c r="AHI26" s="156"/>
      <c r="AHJ26" s="156"/>
      <c r="AHK26" s="156"/>
      <c r="AHL26" s="156"/>
      <c r="AHM26" s="156"/>
      <c r="AHN26" s="156"/>
      <c r="AHO26" s="156"/>
      <c r="AHP26" s="156"/>
      <c r="AHQ26" s="156"/>
      <c r="AHR26" s="156"/>
      <c r="AHS26" s="156"/>
      <c r="AHT26" s="156"/>
      <c r="AHU26" s="156"/>
      <c r="AHV26" s="156"/>
      <c r="AHW26" s="156"/>
      <c r="AHX26" s="156"/>
      <c r="AHY26" s="156"/>
      <c r="AHZ26" s="156"/>
      <c r="AIA26" s="156"/>
      <c r="AIB26" s="156"/>
      <c r="AIC26" s="156"/>
      <c r="AID26" s="156"/>
      <c r="AIE26" s="156"/>
      <c r="AIF26" s="156"/>
      <c r="AIG26" s="156"/>
      <c r="AIH26" s="156"/>
      <c r="AII26" s="156"/>
      <c r="AIJ26" s="156"/>
      <c r="AIK26" s="156"/>
      <c r="AIL26" s="156"/>
      <c r="AIM26" s="156"/>
      <c r="AIN26" s="156"/>
      <c r="AIO26" s="156"/>
      <c r="AIP26" s="156"/>
      <c r="AIQ26" s="156"/>
      <c r="AIR26" s="156"/>
      <c r="AIS26" s="156"/>
      <c r="AIT26" s="156"/>
      <c r="AIU26" s="156"/>
      <c r="AIV26" s="156"/>
      <c r="AIW26" s="156"/>
      <c r="AIX26" s="156"/>
      <c r="AIY26" s="156"/>
      <c r="AIZ26" s="156"/>
      <c r="AJA26" s="156"/>
      <c r="AJB26" s="156"/>
      <c r="AJC26" s="156"/>
      <c r="AJD26" s="156"/>
      <c r="AJE26" s="156"/>
      <c r="AJF26" s="156"/>
      <c r="AJG26" s="156"/>
      <c r="AJH26" s="156"/>
      <c r="AJI26" s="156"/>
      <c r="AJJ26" s="156"/>
      <c r="AJK26" s="156"/>
      <c r="AJL26" s="156"/>
      <c r="AJM26" s="156"/>
      <c r="AJN26" s="156"/>
      <c r="AJO26" s="156"/>
      <c r="AJP26" s="156"/>
      <c r="AJQ26" s="156"/>
      <c r="AJR26" s="156"/>
      <c r="AJS26" s="156"/>
      <c r="AJT26" s="156"/>
      <c r="AJU26" s="156"/>
      <c r="AJV26" s="156"/>
      <c r="AJW26" s="156"/>
      <c r="AJX26" s="156"/>
      <c r="AJY26" s="156"/>
      <c r="AJZ26" s="156"/>
      <c r="AKA26" s="156"/>
      <c r="AKB26" s="156"/>
      <c r="AKC26" s="156"/>
      <c r="AKD26" s="156"/>
      <c r="AKE26" s="156"/>
      <c r="AKF26" s="156"/>
      <c r="AKG26" s="156"/>
      <c r="AKH26" s="156"/>
      <c r="AKI26" s="156"/>
      <c r="AKJ26" s="156"/>
      <c r="AKK26" s="156"/>
      <c r="AKL26" s="156"/>
      <c r="AKM26" s="156"/>
      <c r="AKN26" s="156"/>
      <c r="AKO26" s="156"/>
      <c r="AKP26" s="156"/>
      <c r="AKQ26" s="156"/>
      <c r="AKR26" s="156"/>
      <c r="AKS26" s="156"/>
      <c r="AKT26" s="156"/>
      <c r="AKU26" s="156"/>
      <c r="AKV26" s="156"/>
      <c r="AKW26" s="156"/>
      <c r="AKX26" s="156"/>
      <c r="AKY26" s="156"/>
      <c r="AKZ26" s="156"/>
      <c r="ALA26" s="156"/>
      <c r="ALB26" s="156"/>
      <c r="ALC26" s="156"/>
      <c r="ALD26" s="156"/>
      <c r="ALE26" s="156"/>
      <c r="ALF26" s="156"/>
      <c r="ALG26" s="156"/>
      <c r="ALH26" s="156"/>
      <c r="ALI26" s="156"/>
      <c r="ALJ26" s="156"/>
      <c r="ALK26" s="156"/>
      <c r="ALL26" s="156"/>
      <c r="ALM26" s="156"/>
      <c r="ALN26" s="156"/>
      <c r="ALO26" s="156"/>
      <c r="ALP26" s="156"/>
      <c r="ALQ26" s="156"/>
      <c r="ALR26" s="156"/>
      <c r="ALS26" s="156"/>
      <c r="ALT26" s="156"/>
      <c r="ALU26" s="156"/>
      <c r="ALV26" s="156"/>
      <c r="ALW26" s="156"/>
      <c r="ALX26" s="156"/>
      <c r="ALY26" s="156"/>
      <c r="ALZ26" s="156"/>
      <c r="AMA26" s="156"/>
      <c r="AMB26" s="156"/>
      <c r="AMC26" s="156"/>
      <c r="AMD26" s="156"/>
      <c r="AME26" s="156"/>
      <c r="AMF26" s="156"/>
      <c r="AMG26" s="156"/>
      <c r="AMH26" s="156"/>
      <c r="AMI26" s="156"/>
    </row>
    <row r="27" spans="1:1023" s="325" customFormat="1" ht="25.5">
      <c r="A27" s="321"/>
      <c r="B27" s="294">
        <f>Balance!A370</f>
        <v>44512</v>
      </c>
      <c r="C27" s="294" t="str">
        <f>Balance!B370</f>
        <v>T.V.A. récupérable sur immobilisations à taux normal</v>
      </c>
      <c r="D27" s="323"/>
      <c r="E27" s="323"/>
      <c r="F27" s="323"/>
      <c r="G27" s="324">
        <f>Balance!E370</f>
        <v>48200</v>
      </c>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56"/>
      <c r="CO27" s="156"/>
      <c r="CP27" s="156"/>
      <c r="CQ27" s="156"/>
      <c r="CR27" s="156"/>
      <c r="CS27" s="156"/>
      <c r="CT27" s="156"/>
      <c r="CU27" s="156"/>
      <c r="CV27" s="156"/>
      <c r="CW27" s="156"/>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6"/>
      <c r="EN27" s="156"/>
      <c r="EO27" s="156"/>
      <c r="EP27" s="156"/>
      <c r="EQ27" s="156"/>
      <c r="ER27" s="156"/>
      <c r="ES27" s="156"/>
      <c r="ET27" s="156"/>
      <c r="EU27" s="156"/>
      <c r="EV27" s="156"/>
      <c r="EW27" s="156"/>
      <c r="EX27" s="156"/>
      <c r="EY27" s="156"/>
      <c r="EZ27" s="156"/>
      <c r="FA27" s="156"/>
      <c r="FB27" s="156"/>
      <c r="FC27" s="156"/>
      <c r="FD27" s="156"/>
      <c r="FE27" s="156"/>
      <c r="FF27" s="156"/>
      <c r="FG27" s="156"/>
      <c r="FH27" s="156"/>
      <c r="FI27" s="156"/>
      <c r="FJ27" s="156"/>
      <c r="FK27" s="156"/>
      <c r="FL27" s="156"/>
      <c r="FM27" s="156"/>
      <c r="FN27" s="156"/>
      <c r="FO27" s="156"/>
      <c r="FP27" s="156"/>
      <c r="FQ27" s="156"/>
      <c r="FR27" s="156"/>
      <c r="FS27" s="156"/>
      <c r="FT27" s="156"/>
      <c r="FU27" s="156"/>
      <c r="FV27" s="156"/>
      <c r="FW27" s="156"/>
      <c r="FX27" s="156"/>
      <c r="FY27" s="156"/>
      <c r="FZ27" s="156"/>
      <c r="GA27" s="156"/>
      <c r="GB27" s="156"/>
      <c r="GC27" s="156"/>
      <c r="GD27" s="156"/>
      <c r="GE27" s="156"/>
      <c r="GF27" s="156"/>
      <c r="GG27" s="156"/>
      <c r="GH27" s="156"/>
      <c r="GI27" s="156"/>
      <c r="GJ27" s="156"/>
      <c r="GK27" s="156"/>
      <c r="GL27" s="156"/>
      <c r="GM27" s="156"/>
      <c r="GN27" s="156"/>
      <c r="GO27" s="156"/>
      <c r="GP27" s="156"/>
      <c r="GQ27" s="156"/>
      <c r="GR27" s="156"/>
      <c r="GS27" s="156"/>
      <c r="GT27" s="156"/>
      <c r="GU27" s="156"/>
      <c r="GV27" s="156"/>
      <c r="GW27" s="156"/>
      <c r="GX27" s="156"/>
      <c r="GY27" s="156"/>
      <c r="GZ27" s="156"/>
      <c r="HA27" s="156"/>
      <c r="HB27" s="156"/>
      <c r="HC27" s="156"/>
      <c r="HD27" s="156"/>
      <c r="HE27" s="156"/>
      <c r="HF27" s="156"/>
      <c r="HG27" s="156"/>
      <c r="HH27" s="156"/>
      <c r="HI27" s="156"/>
      <c r="HJ27" s="156"/>
      <c r="HK27" s="156"/>
      <c r="HL27" s="156"/>
      <c r="HM27" s="156"/>
      <c r="HN27" s="156"/>
      <c r="HO27" s="156"/>
      <c r="HP27" s="156"/>
      <c r="HQ27" s="156"/>
      <c r="HR27" s="156"/>
      <c r="HS27" s="156"/>
      <c r="HT27" s="156"/>
      <c r="HU27" s="156"/>
      <c r="HV27" s="156"/>
      <c r="HW27" s="156"/>
      <c r="HX27" s="156"/>
      <c r="HY27" s="156"/>
      <c r="HZ27" s="156"/>
      <c r="IA27" s="156"/>
      <c r="IB27" s="156"/>
      <c r="IC27" s="156"/>
      <c r="ID27" s="156"/>
      <c r="IE27" s="156"/>
      <c r="IF27" s="156"/>
      <c r="IG27" s="156"/>
      <c r="IH27" s="156"/>
      <c r="II27" s="156"/>
      <c r="IJ27" s="156"/>
      <c r="IK27" s="156"/>
      <c r="IL27" s="156"/>
      <c r="IM27" s="156"/>
      <c r="IN27" s="156"/>
      <c r="IO27" s="156"/>
      <c r="IP27" s="156"/>
      <c r="IQ27" s="156"/>
      <c r="IR27" s="156"/>
      <c r="IS27" s="156"/>
      <c r="IT27" s="156"/>
      <c r="IU27" s="156"/>
      <c r="IV27" s="156"/>
      <c r="IW27" s="156"/>
      <c r="IX27" s="156"/>
      <c r="IY27" s="156"/>
      <c r="IZ27" s="156"/>
      <c r="JA27" s="156"/>
      <c r="JB27" s="156"/>
      <c r="JC27" s="156"/>
      <c r="JD27" s="156"/>
      <c r="JE27" s="156"/>
      <c r="JF27" s="156"/>
      <c r="JG27" s="156"/>
      <c r="JH27" s="156"/>
      <c r="JI27" s="156"/>
      <c r="JJ27" s="156"/>
      <c r="JK27" s="156"/>
      <c r="JL27" s="156"/>
      <c r="JM27" s="156"/>
      <c r="JN27" s="156"/>
      <c r="JO27" s="156"/>
      <c r="JP27" s="156"/>
      <c r="JQ27" s="156"/>
      <c r="JR27" s="156"/>
      <c r="JS27" s="156"/>
      <c r="JT27" s="156"/>
      <c r="JU27" s="156"/>
      <c r="JV27" s="156"/>
      <c r="JW27" s="156"/>
      <c r="JX27" s="156"/>
      <c r="JY27" s="156"/>
      <c r="JZ27" s="156"/>
      <c r="KA27" s="156"/>
      <c r="KB27" s="156"/>
      <c r="KC27" s="156"/>
      <c r="KD27" s="156"/>
      <c r="KE27" s="156"/>
      <c r="KF27" s="156"/>
      <c r="KG27" s="156"/>
      <c r="KH27" s="156"/>
      <c r="KI27" s="156"/>
      <c r="KJ27" s="156"/>
      <c r="KK27" s="156"/>
      <c r="KL27" s="156"/>
      <c r="KM27" s="156"/>
      <c r="KN27" s="156"/>
      <c r="KO27" s="156"/>
      <c r="KP27" s="156"/>
      <c r="KQ27" s="156"/>
      <c r="KR27" s="156"/>
      <c r="KS27" s="156"/>
      <c r="KT27" s="156"/>
      <c r="KU27" s="156"/>
      <c r="KV27" s="156"/>
      <c r="KW27" s="156"/>
      <c r="KX27" s="156"/>
      <c r="KY27" s="156"/>
      <c r="KZ27" s="156"/>
      <c r="LA27" s="156"/>
      <c r="LB27" s="156"/>
      <c r="LC27" s="156"/>
      <c r="LD27" s="156"/>
      <c r="LE27" s="156"/>
      <c r="LF27" s="156"/>
      <c r="LG27" s="156"/>
      <c r="LH27" s="156"/>
      <c r="LI27" s="156"/>
      <c r="LJ27" s="156"/>
      <c r="LK27" s="156"/>
      <c r="LL27" s="156"/>
      <c r="LM27" s="156"/>
      <c r="LN27" s="156"/>
      <c r="LO27" s="156"/>
      <c r="LP27" s="156"/>
      <c r="LQ27" s="156"/>
      <c r="LR27" s="156"/>
      <c r="LS27" s="156"/>
      <c r="LT27" s="156"/>
      <c r="LU27" s="156"/>
      <c r="LV27" s="156"/>
      <c r="LW27" s="156"/>
      <c r="LX27" s="156"/>
      <c r="LY27" s="156"/>
      <c r="LZ27" s="156"/>
      <c r="MA27" s="156"/>
      <c r="MB27" s="156"/>
      <c r="MC27" s="156"/>
      <c r="MD27" s="156"/>
      <c r="ME27" s="156"/>
      <c r="MF27" s="156"/>
      <c r="MG27" s="156"/>
      <c r="MH27" s="156"/>
      <c r="MI27" s="156"/>
      <c r="MJ27" s="156"/>
      <c r="MK27" s="156"/>
      <c r="ML27" s="156"/>
      <c r="MM27" s="156"/>
      <c r="MN27" s="156"/>
      <c r="MO27" s="156"/>
      <c r="MP27" s="156"/>
      <c r="MQ27" s="156"/>
      <c r="MR27" s="156"/>
      <c r="MS27" s="156"/>
      <c r="MT27" s="156"/>
      <c r="MU27" s="156"/>
      <c r="MV27" s="156"/>
      <c r="MW27" s="156"/>
      <c r="MX27" s="156"/>
      <c r="MY27" s="156"/>
      <c r="MZ27" s="156"/>
      <c r="NA27" s="156"/>
      <c r="NB27" s="156"/>
      <c r="NC27" s="156"/>
      <c r="ND27" s="156"/>
      <c r="NE27" s="156"/>
      <c r="NF27" s="156"/>
      <c r="NG27" s="156"/>
      <c r="NH27" s="156"/>
      <c r="NI27" s="156"/>
      <c r="NJ27" s="156"/>
      <c r="NK27" s="156"/>
      <c r="NL27" s="156"/>
      <c r="NM27" s="156"/>
      <c r="NN27" s="156"/>
      <c r="NO27" s="156"/>
      <c r="NP27" s="156"/>
      <c r="NQ27" s="156"/>
      <c r="NR27" s="156"/>
      <c r="NS27" s="156"/>
      <c r="NT27" s="156"/>
      <c r="NU27" s="156"/>
      <c r="NV27" s="156"/>
      <c r="NW27" s="156"/>
      <c r="NX27" s="156"/>
      <c r="NY27" s="156"/>
      <c r="NZ27" s="156"/>
      <c r="OA27" s="156"/>
      <c r="OB27" s="156"/>
      <c r="OC27" s="156"/>
      <c r="OD27" s="156"/>
      <c r="OE27" s="156"/>
      <c r="OF27" s="156"/>
      <c r="OG27" s="156"/>
      <c r="OH27" s="156"/>
      <c r="OI27" s="156"/>
      <c r="OJ27" s="156"/>
      <c r="OK27" s="156"/>
      <c r="OL27" s="156"/>
      <c r="OM27" s="156"/>
      <c r="ON27" s="156"/>
      <c r="OO27" s="156"/>
      <c r="OP27" s="156"/>
      <c r="OQ27" s="156"/>
      <c r="OR27" s="156"/>
      <c r="OS27" s="156"/>
      <c r="OT27" s="156"/>
      <c r="OU27" s="156"/>
      <c r="OV27" s="156"/>
      <c r="OW27" s="156"/>
      <c r="OX27" s="156"/>
      <c r="OY27" s="156"/>
      <c r="OZ27" s="156"/>
      <c r="PA27" s="156"/>
      <c r="PB27" s="156"/>
      <c r="PC27" s="156"/>
      <c r="PD27" s="156"/>
      <c r="PE27" s="156"/>
      <c r="PF27" s="156"/>
      <c r="PG27" s="156"/>
      <c r="PH27" s="156"/>
      <c r="PI27" s="156"/>
      <c r="PJ27" s="156"/>
      <c r="PK27" s="156"/>
      <c r="PL27" s="156"/>
      <c r="PM27" s="156"/>
      <c r="PN27" s="156"/>
      <c r="PO27" s="156"/>
      <c r="PP27" s="156"/>
      <c r="PQ27" s="156"/>
      <c r="PR27" s="156"/>
      <c r="PS27" s="156"/>
      <c r="PT27" s="156"/>
      <c r="PU27" s="156"/>
      <c r="PV27" s="156"/>
      <c r="PW27" s="156"/>
      <c r="PX27" s="156"/>
      <c r="PY27" s="156"/>
      <c r="PZ27" s="156"/>
      <c r="QA27" s="156"/>
      <c r="QB27" s="156"/>
      <c r="QC27" s="156"/>
      <c r="QD27" s="156"/>
      <c r="QE27" s="156"/>
      <c r="QF27" s="156"/>
      <c r="QG27" s="156"/>
      <c r="QH27" s="156"/>
      <c r="QI27" s="156"/>
      <c r="QJ27" s="156"/>
      <c r="QK27" s="156"/>
      <c r="QL27" s="156"/>
      <c r="QM27" s="156"/>
      <c r="QN27" s="156"/>
      <c r="QO27" s="156"/>
      <c r="QP27" s="156"/>
      <c r="QQ27" s="156"/>
      <c r="QR27" s="156"/>
      <c r="QS27" s="156"/>
      <c r="QT27" s="156"/>
      <c r="QU27" s="156"/>
      <c r="QV27" s="156"/>
      <c r="QW27" s="156"/>
      <c r="QX27" s="156"/>
      <c r="QY27" s="156"/>
      <c r="QZ27" s="156"/>
      <c r="RA27" s="156"/>
      <c r="RB27" s="156"/>
      <c r="RC27" s="156"/>
      <c r="RD27" s="156"/>
      <c r="RE27" s="156"/>
      <c r="RF27" s="156"/>
      <c r="RG27" s="156"/>
      <c r="RH27" s="156"/>
      <c r="RI27" s="156"/>
      <c r="RJ27" s="156"/>
      <c r="RK27" s="156"/>
      <c r="RL27" s="156"/>
      <c r="RM27" s="156"/>
      <c r="RN27" s="156"/>
      <c r="RO27" s="156"/>
      <c r="RP27" s="156"/>
      <c r="RQ27" s="156"/>
      <c r="RR27" s="156"/>
      <c r="RS27" s="156"/>
      <c r="RT27" s="156"/>
      <c r="RU27" s="156"/>
      <c r="RV27" s="156"/>
      <c r="RW27" s="156"/>
      <c r="RX27" s="156"/>
      <c r="RY27" s="156"/>
      <c r="RZ27" s="156"/>
      <c r="SA27" s="156"/>
      <c r="SB27" s="156"/>
      <c r="SC27" s="156"/>
      <c r="SD27" s="156"/>
      <c r="SE27" s="156"/>
      <c r="SF27" s="156"/>
      <c r="SG27" s="156"/>
      <c r="SH27" s="156"/>
      <c r="SI27" s="156"/>
      <c r="SJ27" s="156"/>
      <c r="SK27" s="156"/>
      <c r="SL27" s="156"/>
      <c r="SM27" s="156"/>
      <c r="SN27" s="156"/>
      <c r="SO27" s="156"/>
      <c r="SP27" s="156"/>
      <c r="SQ27" s="156"/>
      <c r="SR27" s="156"/>
      <c r="SS27" s="156"/>
      <c r="ST27" s="156"/>
      <c r="SU27" s="156"/>
      <c r="SV27" s="156"/>
      <c r="SW27" s="156"/>
      <c r="SX27" s="156"/>
      <c r="SY27" s="156"/>
      <c r="SZ27" s="156"/>
      <c r="TA27" s="156"/>
      <c r="TB27" s="156"/>
      <c r="TC27" s="156"/>
      <c r="TD27" s="156"/>
      <c r="TE27" s="156"/>
      <c r="TF27" s="156"/>
      <c r="TG27" s="156"/>
      <c r="TH27" s="156"/>
      <c r="TI27" s="156"/>
      <c r="TJ27" s="156"/>
      <c r="TK27" s="156"/>
      <c r="TL27" s="156"/>
      <c r="TM27" s="156"/>
      <c r="TN27" s="156"/>
      <c r="TO27" s="156"/>
      <c r="TP27" s="156"/>
      <c r="TQ27" s="156"/>
      <c r="TR27" s="156"/>
      <c r="TS27" s="156"/>
      <c r="TT27" s="156"/>
      <c r="TU27" s="156"/>
      <c r="TV27" s="156"/>
      <c r="TW27" s="156"/>
      <c r="TX27" s="156"/>
      <c r="TY27" s="156"/>
      <c r="TZ27" s="156"/>
      <c r="UA27" s="156"/>
      <c r="UB27" s="156"/>
      <c r="UC27" s="156"/>
      <c r="UD27" s="156"/>
      <c r="UE27" s="156"/>
      <c r="UF27" s="156"/>
      <c r="UG27" s="156"/>
      <c r="UH27" s="156"/>
      <c r="UI27" s="156"/>
      <c r="UJ27" s="156"/>
      <c r="UK27" s="156"/>
      <c r="UL27" s="156"/>
      <c r="UM27" s="156"/>
      <c r="UN27" s="156"/>
      <c r="UO27" s="156"/>
      <c r="UP27" s="156"/>
      <c r="UQ27" s="156"/>
      <c r="UR27" s="156"/>
      <c r="US27" s="156"/>
      <c r="UT27" s="156"/>
      <c r="UU27" s="156"/>
      <c r="UV27" s="156"/>
      <c r="UW27" s="156"/>
      <c r="UX27" s="156"/>
      <c r="UY27" s="156"/>
      <c r="UZ27" s="156"/>
      <c r="VA27" s="156"/>
      <c r="VB27" s="156"/>
      <c r="VC27" s="156"/>
      <c r="VD27" s="156"/>
      <c r="VE27" s="156"/>
      <c r="VF27" s="156"/>
      <c r="VG27" s="156"/>
      <c r="VH27" s="156"/>
      <c r="VI27" s="156"/>
      <c r="VJ27" s="156"/>
      <c r="VK27" s="156"/>
      <c r="VL27" s="156"/>
      <c r="VM27" s="156"/>
      <c r="VN27" s="156"/>
      <c r="VO27" s="156"/>
      <c r="VP27" s="156"/>
      <c r="VQ27" s="156"/>
      <c r="VR27" s="156"/>
      <c r="VS27" s="156"/>
      <c r="VT27" s="156"/>
      <c r="VU27" s="156"/>
      <c r="VV27" s="156"/>
      <c r="VW27" s="156"/>
      <c r="VX27" s="156"/>
      <c r="VY27" s="156"/>
      <c r="VZ27" s="156"/>
      <c r="WA27" s="156"/>
      <c r="WB27" s="156"/>
      <c r="WC27" s="156"/>
      <c r="WD27" s="156"/>
      <c r="WE27" s="156"/>
      <c r="WF27" s="156"/>
      <c r="WG27" s="156"/>
      <c r="WH27" s="156"/>
      <c r="WI27" s="156"/>
      <c r="WJ27" s="156"/>
      <c r="WK27" s="156"/>
      <c r="WL27" s="156"/>
      <c r="WM27" s="156"/>
      <c r="WN27" s="156"/>
      <c r="WO27" s="156"/>
      <c r="WP27" s="156"/>
      <c r="WQ27" s="156"/>
      <c r="WR27" s="156"/>
      <c r="WS27" s="156"/>
      <c r="WT27" s="156"/>
      <c r="WU27" s="156"/>
      <c r="WV27" s="156"/>
      <c r="WW27" s="156"/>
      <c r="WX27" s="156"/>
      <c r="WY27" s="156"/>
      <c r="WZ27" s="156"/>
      <c r="XA27" s="156"/>
      <c r="XB27" s="156"/>
      <c r="XC27" s="156"/>
      <c r="XD27" s="156"/>
      <c r="XE27" s="156"/>
      <c r="XF27" s="156"/>
      <c r="XG27" s="156"/>
      <c r="XH27" s="156"/>
      <c r="XI27" s="156"/>
      <c r="XJ27" s="156"/>
      <c r="XK27" s="156"/>
      <c r="XL27" s="156"/>
      <c r="XM27" s="156"/>
      <c r="XN27" s="156"/>
      <c r="XO27" s="156"/>
      <c r="XP27" s="156"/>
      <c r="XQ27" s="156"/>
      <c r="XR27" s="156"/>
      <c r="XS27" s="156"/>
      <c r="XT27" s="156"/>
      <c r="XU27" s="156"/>
      <c r="XV27" s="156"/>
      <c r="XW27" s="156"/>
      <c r="XX27" s="156"/>
      <c r="XY27" s="156"/>
      <c r="XZ27" s="156"/>
      <c r="YA27" s="156"/>
      <c r="YB27" s="156"/>
      <c r="YC27" s="156"/>
      <c r="YD27" s="156"/>
      <c r="YE27" s="156"/>
      <c r="YF27" s="156"/>
      <c r="YG27" s="156"/>
      <c r="YH27" s="156"/>
      <c r="YI27" s="156"/>
      <c r="YJ27" s="156"/>
      <c r="YK27" s="156"/>
      <c r="YL27" s="156"/>
      <c r="YM27" s="156"/>
      <c r="YN27" s="156"/>
      <c r="YO27" s="156"/>
      <c r="YP27" s="156"/>
      <c r="YQ27" s="156"/>
      <c r="YR27" s="156"/>
      <c r="YS27" s="156"/>
      <c r="YT27" s="156"/>
      <c r="YU27" s="156"/>
      <c r="YV27" s="156"/>
      <c r="YW27" s="156"/>
      <c r="YX27" s="156"/>
      <c r="YY27" s="156"/>
      <c r="YZ27" s="156"/>
      <c r="ZA27" s="156"/>
      <c r="ZB27" s="156"/>
      <c r="ZC27" s="156"/>
      <c r="ZD27" s="156"/>
      <c r="ZE27" s="156"/>
      <c r="ZF27" s="156"/>
      <c r="ZG27" s="156"/>
      <c r="ZH27" s="156"/>
      <c r="ZI27" s="156"/>
      <c r="ZJ27" s="156"/>
      <c r="ZK27" s="156"/>
      <c r="ZL27" s="156"/>
      <c r="ZM27" s="156"/>
      <c r="ZN27" s="156"/>
      <c r="ZO27" s="156"/>
      <c r="ZP27" s="156"/>
      <c r="ZQ27" s="156"/>
      <c r="ZR27" s="156"/>
      <c r="ZS27" s="156"/>
      <c r="ZT27" s="156"/>
      <c r="ZU27" s="156"/>
      <c r="ZV27" s="156"/>
      <c r="ZW27" s="156"/>
      <c r="ZX27" s="156"/>
      <c r="ZY27" s="156"/>
      <c r="ZZ27" s="156"/>
      <c r="AAA27" s="156"/>
      <c r="AAB27" s="156"/>
      <c r="AAC27" s="156"/>
      <c r="AAD27" s="156"/>
      <c r="AAE27" s="156"/>
      <c r="AAF27" s="156"/>
      <c r="AAG27" s="156"/>
      <c r="AAH27" s="156"/>
      <c r="AAI27" s="156"/>
      <c r="AAJ27" s="156"/>
      <c r="AAK27" s="156"/>
      <c r="AAL27" s="156"/>
      <c r="AAM27" s="156"/>
      <c r="AAN27" s="156"/>
      <c r="AAO27" s="156"/>
      <c r="AAP27" s="156"/>
      <c r="AAQ27" s="156"/>
      <c r="AAR27" s="156"/>
      <c r="AAS27" s="156"/>
      <c r="AAT27" s="156"/>
      <c r="AAU27" s="156"/>
      <c r="AAV27" s="156"/>
      <c r="AAW27" s="156"/>
      <c r="AAX27" s="156"/>
      <c r="AAY27" s="156"/>
      <c r="AAZ27" s="156"/>
      <c r="ABA27" s="156"/>
      <c r="ABB27" s="156"/>
      <c r="ABC27" s="156"/>
      <c r="ABD27" s="156"/>
      <c r="ABE27" s="156"/>
      <c r="ABF27" s="156"/>
      <c r="ABG27" s="156"/>
      <c r="ABH27" s="156"/>
      <c r="ABI27" s="156"/>
      <c r="ABJ27" s="156"/>
      <c r="ABK27" s="156"/>
      <c r="ABL27" s="156"/>
      <c r="ABM27" s="156"/>
      <c r="ABN27" s="156"/>
      <c r="ABO27" s="156"/>
      <c r="ABP27" s="156"/>
      <c r="ABQ27" s="156"/>
      <c r="ABR27" s="156"/>
      <c r="ABS27" s="156"/>
      <c r="ABT27" s="156"/>
      <c r="ABU27" s="156"/>
      <c r="ABV27" s="156"/>
      <c r="ABW27" s="156"/>
      <c r="ABX27" s="156"/>
      <c r="ABY27" s="156"/>
      <c r="ABZ27" s="156"/>
      <c r="ACA27" s="156"/>
      <c r="ACB27" s="156"/>
      <c r="ACC27" s="156"/>
      <c r="ACD27" s="156"/>
      <c r="ACE27" s="156"/>
      <c r="ACF27" s="156"/>
      <c r="ACG27" s="156"/>
      <c r="ACH27" s="156"/>
      <c r="ACI27" s="156"/>
      <c r="ACJ27" s="156"/>
      <c r="ACK27" s="156"/>
      <c r="ACL27" s="156"/>
      <c r="ACM27" s="156"/>
      <c r="ACN27" s="156"/>
      <c r="ACO27" s="156"/>
      <c r="ACP27" s="156"/>
      <c r="ACQ27" s="156"/>
      <c r="ACR27" s="156"/>
      <c r="ACS27" s="156"/>
      <c r="ACT27" s="156"/>
      <c r="ACU27" s="156"/>
      <c r="ACV27" s="156"/>
      <c r="ACW27" s="156"/>
      <c r="ACX27" s="156"/>
      <c r="ACY27" s="156"/>
      <c r="ACZ27" s="156"/>
      <c r="ADA27" s="156"/>
      <c r="ADB27" s="156"/>
      <c r="ADC27" s="156"/>
      <c r="ADD27" s="156"/>
      <c r="ADE27" s="156"/>
      <c r="ADF27" s="156"/>
      <c r="ADG27" s="156"/>
      <c r="ADH27" s="156"/>
      <c r="ADI27" s="156"/>
      <c r="ADJ27" s="156"/>
      <c r="ADK27" s="156"/>
      <c r="ADL27" s="156"/>
      <c r="ADM27" s="156"/>
      <c r="ADN27" s="156"/>
      <c r="ADO27" s="156"/>
      <c r="ADP27" s="156"/>
      <c r="ADQ27" s="156"/>
      <c r="ADR27" s="156"/>
      <c r="ADS27" s="156"/>
      <c r="ADT27" s="156"/>
      <c r="ADU27" s="156"/>
      <c r="ADV27" s="156"/>
      <c r="ADW27" s="156"/>
      <c r="ADX27" s="156"/>
      <c r="ADY27" s="156"/>
      <c r="ADZ27" s="156"/>
      <c r="AEA27" s="156"/>
      <c r="AEB27" s="156"/>
      <c r="AEC27" s="156"/>
      <c r="AED27" s="156"/>
      <c r="AEE27" s="156"/>
      <c r="AEF27" s="156"/>
      <c r="AEG27" s="156"/>
      <c r="AEH27" s="156"/>
      <c r="AEI27" s="156"/>
      <c r="AEJ27" s="156"/>
      <c r="AEK27" s="156"/>
      <c r="AEL27" s="156"/>
      <c r="AEM27" s="156"/>
      <c r="AEN27" s="156"/>
      <c r="AEO27" s="156"/>
      <c r="AEP27" s="156"/>
      <c r="AEQ27" s="156"/>
      <c r="AER27" s="156"/>
      <c r="AES27" s="156"/>
      <c r="AET27" s="156"/>
      <c r="AEU27" s="156"/>
      <c r="AEV27" s="156"/>
      <c r="AEW27" s="156"/>
      <c r="AEX27" s="156"/>
      <c r="AEY27" s="156"/>
      <c r="AEZ27" s="156"/>
      <c r="AFA27" s="156"/>
      <c r="AFB27" s="156"/>
      <c r="AFC27" s="156"/>
      <c r="AFD27" s="156"/>
      <c r="AFE27" s="156"/>
      <c r="AFF27" s="156"/>
      <c r="AFG27" s="156"/>
      <c r="AFH27" s="156"/>
      <c r="AFI27" s="156"/>
      <c r="AFJ27" s="156"/>
      <c r="AFK27" s="156"/>
      <c r="AFL27" s="156"/>
      <c r="AFM27" s="156"/>
      <c r="AFN27" s="156"/>
      <c r="AFO27" s="156"/>
      <c r="AFP27" s="156"/>
      <c r="AFQ27" s="156"/>
      <c r="AFR27" s="156"/>
      <c r="AFS27" s="156"/>
      <c r="AFT27" s="156"/>
      <c r="AFU27" s="156"/>
      <c r="AFV27" s="156"/>
      <c r="AFW27" s="156"/>
      <c r="AFX27" s="156"/>
      <c r="AFY27" s="156"/>
      <c r="AFZ27" s="156"/>
      <c r="AGA27" s="156"/>
      <c r="AGB27" s="156"/>
      <c r="AGC27" s="156"/>
      <c r="AGD27" s="156"/>
      <c r="AGE27" s="156"/>
      <c r="AGF27" s="156"/>
      <c r="AGG27" s="156"/>
      <c r="AGH27" s="156"/>
      <c r="AGI27" s="156"/>
      <c r="AGJ27" s="156"/>
      <c r="AGK27" s="156"/>
      <c r="AGL27" s="156"/>
      <c r="AGM27" s="156"/>
      <c r="AGN27" s="156"/>
      <c r="AGO27" s="156"/>
      <c r="AGP27" s="156"/>
      <c r="AGQ27" s="156"/>
      <c r="AGR27" s="156"/>
      <c r="AGS27" s="156"/>
      <c r="AGT27" s="156"/>
      <c r="AGU27" s="156"/>
      <c r="AGV27" s="156"/>
      <c r="AGW27" s="156"/>
      <c r="AGX27" s="156"/>
      <c r="AGY27" s="156"/>
      <c r="AGZ27" s="156"/>
      <c r="AHA27" s="156"/>
      <c r="AHB27" s="156"/>
      <c r="AHC27" s="156"/>
      <c r="AHD27" s="156"/>
      <c r="AHE27" s="156"/>
      <c r="AHF27" s="156"/>
      <c r="AHG27" s="156"/>
      <c r="AHH27" s="156"/>
      <c r="AHI27" s="156"/>
      <c r="AHJ27" s="156"/>
      <c r="AHK27" s="156"/>
      <c r="AHL27" s="156"/>
      <c r="AHM27" s="156"/>
      <c r="AHN27" s="156"/>
      <c r="AHO27" s="156"/>
      <c r="AHP27" s="156"/>
      <c r="AHQ27" s="156"/>
      <c r="AHR27" s="156"/>
      <c r="AHS27" s="156"/>
      <c r="AHT27" s="156"/>
      <c r="AHU27" s="156"/>
      <c r="AHV27" s="156"/>
      <c r="AHW27" s="156"/>
      <c r="AHX27" s="156"/>
      <c r="AHY27" s="156"/>
      <c r="AHZ27" s="156"/>
      <c r="AIA27" s="156"/>
      <c r="AIB27" s="156"/>
      <c r="AIC27" s="156"/>
      <c r="AID27" s="156"/>
      <c r="AIE27" s="156"/>
      <c r="AIF27" s="156"/>
      <c r="AIG27" s="156"/>
      <c r="AIH27" s="156"/>
      <c r="AII27" s="156"/>
      <c r="AIJ27" s="156"/>
      <c r="AIK27" s="156"/>
      <c r="AIL27" s="156"/>
      <c r="AIM27" s="156"/>
      <c r="AIN27" s="156"/>
      <c r="AIO27" s="156"/>
      <c r="AIP27" s="156"/>
      <c r="AIQ27" s="156"/>
      <c r="AIR27" s="156"/>
      <c r="AIS27" s="156"/>
      <c r="AIT27" s="156"/>
      <c r="AIU27" s="156"/>
      <c r="AIV27" s="156"/>
      <c r="AIW27" s="156"/>
      <c r="AIX27" s="156"/>
      <c r="AIY27" s="156"/>
      <c r="AIZ27" s="156"/>
      <c r="AJA27" s="156"/>
      <c r="AJB27" s="156"/>
      <c r="AJC27" s="156"/>
      <c r="AJD27" s="156"/>
      <c r="AJE27" s="156"/>
      <c r="AJF27" s="156"/>
      <c r="AJG27" s="156"/>
      <c r="AJH27" s="156"/>
      <c r="AJI27" s="156"/>
      <c r="AJJ27" s="156"/>
      <c r="AJK27" s="156"/>
      <c r="AJL27" s="156"/>
      <c r="AJM27" s="156"/>
      <c r="AJN27" s="156"/>
      <c r="AJO27" s="156"/>
      <c r="AJP27" s="156"/>
      <c r="AJQ27" s="156"/>
      <c r="AJR27" s="156"/>
      <c r="AJS27" s="156"/>
      <c r="AJT27" s="156"/>
      <c r="AJU27" s="156"/>
      <c r="AJV27" s="156"/>
      <c r="AJW27" s="156"/>
      <c r="AJX27" s="156"/>
      <c r="AJY27" s="156"/>
      <c r="AJZ27" s="156"/>
      <c r="AKA27" s="156"/>
      <c r="AKB27" s="156"/>
      <c r="AKC27" s="156"/>
      <c r="AKD27" s="156"/>
      <c r="AKE27" s="156"/>
      <c r="AKF27" s="156"/>
      <c r="AKG27" s="156"/>
      <c r="AKH27" s="156"/>
      <c r="AKI27" s="156"/>
      <c r="AKJ27" s="156"/>
      <c r="AKK27" s="156"/>
      <c r="AKL27" s="156"/>
      <c r="AKM27" s="156"/>
      <c r="AKN27" s="156"/>
      <c r="AKO27" s="156"/>
      <c r="AKP27" s="156"/>
      <c r="AKQ27" s="156"/>
      <c r="AKR27" s="156"/>
      <c r="AKS27" s="156"/>
      <c r="AKT27" s="156"/>
      <c r="AKU27" s="156"/>
      <c r="AKV27" s="156"/>
      <c r="AKW27" s="156"/>
      <c r="AKX27" s="156"/>
      <c r="AKY27" s="156"/>
      <c r="AKZ27" s="156"/>
      <c r="ALA27" s="156"/>
      <c r="ALB27" s="156"/>
      <c r="ALC27" s="156"/>
      <c r="ALD27" s="156"/>
      <c r="ALE27" s="156"/>
      <c r="ALF27" s="156"/>
      <c r="ALG27" s="156"/>
      <c r="ALH27" s="156"/>
      <c r="ALI27" s="156"/>
      <c r="ALJ27" s="156"/>
      <c r="ALK27" s="156"/>
      <c r="ALL27" s="156"/>
      <c r="ALM27" s="156"/>
      <c r="ALN27" s="156"/>
      <c r="ALO27" s="156"/>
      <c r="ALP27" s="156"/>
      <c r="ALQ27" s="156"/>
      <c r="ALR27" s="156"/>
      <c r="ALS27" s="156"/>
      <c r="ALT27" s="156"/>
      <c r="ALU27" s="156"/>
      <c r="ALV27" s="156"/>
      <c r="ALW27" s="156"/>
      <c r="ALX27" s="156"/>
      <c r="ALY27" s="156"/>
      <c r="ALZ27" s="156"/>
      <c r="AMA27" s="156"/>
      <c r="AMB27" s="156"/>
      <c r="AMC27" s="156"/>
      <c r="AMD27" s="156"/>
      <c r="AME27" s="156"/>
      <c r="AMF27" s="156"/>
      <c r="AMG27" s="156"/>
      <c r="AMH27" s="156"/>
      <c r="AMI27" s="156"/>
    </row>
    <row r="28" spans="1:1023" s="325" customFormat="1" ht="25.5">
      <c r="A28" s="321"/>
      <c r="B28" s="294">
        <f>Balance!A371</f>
        <v>44513</v>
      </c>
      <c r="C28" s="294" t="str">
        <f>Balance!B371</f>
        <v>T.V.A. récupérable sur immobilisations à taux fort</v>
      </c>
      <c r="D28" s="323"/>
      <c r="E28" s="323"/>
      <c r="F28" s="323"/>
      <c r="G28" s="324">
        <f>Balance!E371</f>
        <v>0</v>
      </c>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6"/>
      <c r="FA28" s="156"/>
      <c r="FB28" s="156"/>
      <c r="FC28" s="156"/>
      <c r="FD28" s="156"/>
      <c r="FE28" s="156"/>
      <c r="FF28" s="156"/>
      <c r="FG28" s="156"/>
      <c r="FH28" s="156"/>
      <c r="FI28" s="156"/>
      <c r="FJ28" s="156"/>
      <c r="FK28" s="156"/>
      <c r="FL28" s="156"/>
      <c r="FM28" s="156"/>
      <c r="FN28" s="156"/>
      <c r="FO28" s="156"/>
      <c r="FP28" s="156"/>
      <c r="FQ28" s="156"/>
      <c r="FR28" s="156"/>
      <c r="FS28" s="156"/>
      <c r="FT28" s="156"/>
      <c r="FU28" s="156"/>
      <c r="FV28" s="156"/>
      <c r="FW28" s="156"/>
      <c r="FX28" s="156"/>
      <c r="FY28" s="156"/>
      <c r="FZ28" s="156"/>
      <c r="GA28" s="156"/>
      <c r="GB28" s="156"/>
      <c r="GC28" s="156"/>
      <c r="GD28" s="156"/>
      <c r="GE28" s="156"/>
      <c r="GF28" s="156"/>
      <c r="GG28" s="156"/>
      <c r="GH28" s="156"/>
      <c r="GI28" s="156"/>
      <c r="GJ28" s="156"/>
      <c r="GK28" s="156"/>
      <c r="GL28" s="156"/>
      <c r="GM28" s="156"/>
      <c r="GN28" s="156"/>
      <c r="GO28" s="156"/>
      <c r="GP28" s="156"/>
      <c r="GQ28" s="156"/>
      <c r="GR28" s="156"/>
      <c r="GS28" s="156"/>
      <c r="GT28" s="156"/>
      <c r="GU28" s="156"/>
      <c r="GV28" s="156"/>
      <c r="GW28" s="156"/>
      <c r="GX28" s="156"/>
      <c r="GY28" s="156"/>
      <c r="GZ28" s="156"/>
      <c r="HA28" s="156"/>
      <c r="HB28" s="156"/>
      <c r="HC28" s="156"/>
      <c r="HD28" s="156"/>
      <c r="HE28" s="156"/>
      <c r="HF28" s="156"/>
      <c r="HG28" s="156"/>
      <c r="HH28" s="156"/>
      <c r="HI28" s="156"/>
      <c r="HJ28" s="156"/>
      <c r="HK28" s="156"/>
      <c r="HL28" s="156"/>
      <c r="HM28" s="156"/>
      <c r="HN28" s="156"/>
      <c r="HO28" s="156"/>
      <c r="HP28" s="156"/>
      <c r="HQ28" s="156"/>
      <c r="HR28" s="156"/>
      <c r="HS28" s="156"/>
      <c r="HT28" s="156"/>
      <c r="HU28" s="156"/>
      <c r="HV28" s="156"/>
      <c r="HW28" s="156"/>
      <c r="HX28" s="156"/>
      <c r="HY28" s="156"/>
      <c r="HZ28" s="156"/>
      <c r="IA28" s="156"/>
      <c r="IB28" s="156"/>
      <c r="IC28" s="156"/>
      <c r="ID28" s="156"/>
      <c r="IE28" s="156"/>
      <c r="IF28" s="156"/>
      <c r="IG28" s="156"/>
      <c r="IH28" s="156"/>
      <c r="II28" s="156"/>
      <c r="IJ28" s="156"/>
      <c r="IK28" s="156"/>
      <c r="IL28" s="156"/>
      <c r="IM28" s="156"/>
      <c r="IN28" s="156"/>
      <c r="IO28" s="156"/>
      <c r="IP28" s="156"/>
      <c r="IQ28" s="156"/>
      <c r="IR28" s="156"/>
      <c r="IS28" s="156"/>
      <c r="IT28" s="156"/>
      <c r="IU28" s="156"/>
      <c r="IV28" s="156"/>
      <c r="IW28" s="156"/>
      <c r="IX28" s="156"/>
      <c r="IY28" s="156"/>
      <c r="IZ28" s="156"/>
      <c r="JA28" s="156"/>
      <c r="JB28" s="156"/>
      <c r="JC28" s="156"/>
      <c r="JD28" s="156"/>
      <c r="JE28" s="156"/>
      <c r="JF28" s="156"/>
      <c r="JG28" s="156"/>
      <c r="JH28" s="156"/>
      <c r="JI28" s="156"/>
      <c r="JJ28" s="156"/>
      <c r="JK28" s="156"/>
      <c r="JL28" s="156"/>
      <c r="JM28" s="156"/>
      <c r="JN28" s="156"/>
      <c r="JO28" s="156"/>
      <c r="JP28" s="156"/>
      <c r="JQ28" s="156"/>
      <c r="JR28" s="156"/>
      <c r="JS28" s="156"/>
      <c r="JT28" s="156"/>
      <c r="JU28" s="156"/>
      <c r="JV28" s="156"/>
      <c r="JW28" s="156"/>
      <c r="JX28" s="156"/>
      <c r="JY28" s="156"/>
      <c r="JZ28" s="156"/>
      <c r="KA28" s="156"/>
      <c r="KB28" s="156"/>
      <c r="KC28" s="156"/>
      <c r="KD28" s="156"/>
      <c r="KE28" s="156"/>
      <c r="KF28" s="156"/>
      <c r="KG28" s="156"/>
      <c r="KH28" s="156"/>
      <c r="KI28" s="156"/>
      <c r="KJ28" s="156"/>
      <c r="KK28" s="156"/>
      <c r="KL28" s="156"/>
      <c r="KM28" s="156"/>
      <c r="KN28" s="156"/>
      <c r="KO28" s="156"/>
      <c r="KP28" s="156"/>
      <c r="KQ28" s="156"/>
      <c r="KR28" s="156"/>
      <c r="KS28" s="156"/>
      <c r="KT28" s="156"/>
      <c r="KU28" s="156"/>
      <c r="KV28" s="156"/>
      <c r="KW28" s="156"/>
      <c r="KX28" s="156"/>
      <c r="KY28" s="156"/>
      <c r="KZ28" s="156"/>
      <c r="LA28" s="156"/>
      <c r="LB28" s="156"/>
      <c r="LC28" s="156"/>
      <c r="LD28" s="156"/>
      <c r="LE28" s="156"/>
      <c r="LF28" s="156"/>
      <c r="LG28" s="156"/>
      <c r="LH28" s="156"/>
      <c r="LI28" s="156"/>
      <c r="LJ28" s="156"/>
      <c r="LK28" s="156"/>
      <c r="LL28" s="156"/>
      <c r="LM28" s="156"/>
      <c r="LN28" s="156"/>
      <c r="LO28" s="156"/>
      <c r="LP28" s="156"/>
      <c r="LQ28" s="156"/>
      <c r="LR28" s="156"/>
      <c r="LS28" s="156"/>
      <c r="LT28" s="156"/>
      <c r="LU28" s="156"/>
      <c r="LV28" s="156"/>
      <c r="LW28" s="156"/>
      <c r="LX28" s="156"/>
      <c r="LY28" s="156"/>
      <c r="LZ28" s="156"/>
      <c r="MA28" s="156"/>
      <c r="MB28" s="156"/>
      <c r="MC28" s="156"/>
      <c r="MD28" s="156"/>
      <c r="ME28" s="156"/>
      <c r="MF28" s="156"/>
      <c r="MG28" s="156"/>
      <c r="MH28" s="156"/>
      <c r="MI28" s="156"/>
      <c r="MJ28" s="156"/>
      <c r="MK28" s="156"/>
      <c r="ML28" s="156"/>
      <c r="MM28" s="156"/>
      <c r="MN28" s="156"/>
      <c r="MO28" s="156"/>
      <c r="MP28" s="156"/>
      <c r="MQ28" s="156"/>
      <c r="MR28" s="156"/>
      <c r="MS28" s="156"/>
      <c r="MT28" s="156"/>
      <c r="MU28" s="156"/>
      <c r="MV28" s="156"/>
      <c r="MW28" s="156"/>
      <c r="MX28" s="156"/>
      <c r="MY28" s="156"/>
      <c r="MZ28" s="156"/>
      <c r="NA28" s="156"/>
      <c r="NB28" s="156"/>
      <c r="NC28" s="156"/>
      <c r="ND28" s="156"/>
      <c r="NE28" s="156"/>
      <c r="NF28" s="156"/>
      <c r="NG28" s="156"/>
      <c r="NH28" s="156"/>
      <c r="NI28" s="156"/>
      <c r="NJ28" s="156"/>
      <c r="NK28" s="156"/>
      <c r="NL28" s="156"/>
      <c r="NM28" s="156"/>
      <c r="NN28" s="156"/>
      <c r="NO28" s="156"/>
      <c r="NP28" s="156"/>
      <c r="NQ28" s="156"/>
      <c r="NR28" s="156"/>
      <c r="NS28" s="156"/>
      <c r="NT28" s="156"/>
      <c r="NU28" s="156"/>
      <c r="NV28" s="156"/>
      <c r="NW28" s="156"/>
      <c r="NX28" s="156"/>
      <c r="NY28" s="156"/>
      <c r="NZ28" s="156"/>
      <c r="OA28" s="156"/>
      <c r="OB28" s="156"/>
      <c r="OC28" s="156"/>
      <c r="OD28" s="156"/>
      <c r="OE28" s="156"/>
      <c r="OF28" s="156"/>
      <c r="OG28" s="156"/>
      <c r="OH28" s="156"/>
      <c r="OI28" s="156"/>
      <c r="OJ28" s="156"/>
      <c r="OK28" s="156"/>
      <c r="OL28" s="156"/>
      <c r="OM28" s="156"/>
      <c r="ON28" s="156"/>
      <c r="OO28" s="156"/>
      <c r="OP28" s="156"/>
      <c r="OQ28" s="156"/>
      <c r="OR28" s="156"/>
      <c r="OS28" s="156"/>
      <c r="OT28" s="156"/>
      <c r="OU28" s="156"/>
      <c r="OV28" s="156"/>
      <c r="OW28" s="156"/>
      <c r="OX28" s="156"/>
      <c r="OY28" s="156"/>
      <c r="OZ28" s="156"/>
      <c r="PA28" s="156"/>
      <c r="PB28" s="156"/>
      <c r="PC28" s="156"/>
      <c r="PD28" s="156"/>
      <c r="PE28" s="156"/>
      <c r="PF28" s="156"/>
      <c r="PG28" s="156"/>
      <c r="PH28" s="156"/>
      <c r="PI28" s="156"/>
      <c r="PJ28" s="156"/>
      <c r="PK28" s="156"/>
      <c r="PL28" s="156"/>
      <c r="PM28" s="156"/>
      <c r="PN28" s="156"/>
      <c r="PO28" s="156"/>
      <c r="PP28" s="156"/>
      <c r="PQ28" s="156"/>
      <c r="PR28" s="156"/>
      <c r="PS28" s="156"/>
      <c r="PT28" s="156"/>
      <c r="PU28" s="156"/>
      <c r="PV28" s="156"/>
      <c r="PW28" s="156"/>
      <c r="PX28" s="156"/>
      <c r="PY28" s="156"/>
      <c r="PZ28" s="156"/>
      <c r="QA28" s="156"/>
      <c r="QB28" s="156"/>
      <c r="QC28" s="156"/>
      <c r="QD28" s="156"/>
      <c r="QE28" s="156"/>
      <c r="QF28" s="156"/>
      <c r="QG28" s="156"/>
      <c r="QH28" s="156"/>
      <c r="QI28" s="156"/>
      <c r="QJ28" s="156"/>
      <c r="QK28" s="156"/>
      <c r="QL28" s="156"/>
      <c r="QM28" s="156"/>
      <c r="QN28" s="156"/>
      <c r="QO28" s="156"/>
      <c r="QP28" s="156"/>
      <c r="QQ28" s="156"/>
      <c r="QR28" s="156"/>
      <c r="QS28" s="156"/>
      <c r="QT28" s="156"/>
      <c r="QU28" s="156"/>
      <c r="QV28" s="156"/>
      <c r="QW28" s="156"/>
      <c r="QX28" s="156"/>
      <c r="QY28" s="156"/>
      <c r="QZ28" s="156"/>
      <c r="RA28" s="156"/>
      <c r="RB28" s="156"/>
      <c r="RC28" s="156"/>
      <c r="RD28" s="156"/>
      <c r="RE28" s="156"/>
      <c r="RF28" s="156"/>
      <c r="RG28" s="156"/>
      <c r="RH28" s="156"/>
      <c r="RI28" s="156"/>
      <c r="RJ28" s="156"/>
      <c r="RK28" s="156"/>
      <c r="RL28" s="156"/>
      <c r="RM28" s="156"/>
      <c r="RN28" s="156"/>
      <c r="RO28" s="156"/>
      <c r="RP28" s="156"/>
      <c r="RQ28" s="156"/>
      <c r="RR28" s="156"/>
      <c r="RS28" s="156"/>
      <c r="RT28" s="156"/>
      <c r="RU28" s="156"/>
      <c r="RV28" s="156"/>
      <c r="RW28" s="156"/>
      <c r="RX28" s="156"/>
      <c r="RY28" s="156"/>
      <c r="RZ28" s="156"/>
      <c r="SA28" s="156"/>
      <c r="SB28" s="156"/>
      <c r="SC28" s="156"/>
      <c r="SD28" s="156"/>
      <c r="SE28" s="156"/>
      <c r="SF28" s="156"/>
      <c r="SG28" s="156"/>
      <c r="SH28" s="156"/>
      <c r="SI28" s="156"/>
      <c r="SJ28" s="156"/>
      <c r="SK28" s="156"/>
      <c r="SL28" s="156"/>
      <c r="SM28" s="156"/>
      <c r="SN28" s="156"/>
      <c r="SO28" s="156"/>
      <c r="SP28" s="156"/>
      <c r="SQ28" s="156"/>
      <c r="SR28" s="156"/>
      <c r="SS28" s="156"/>
      <c r="ST28" s="156"/>
      <c r="SU28" s="156"/>
      <c r="SV28" s="156"/>
      <c r="SW28" s="156"/>
      <c r="SX28" s="156"/>
      <c r="SY28" s="156"/>
      <c r="SZ28" s="156"/>
      <c r="TA28" s="156"/>
      <c r="TB28" s="156"/>
      <c r="TC28" s="156"/>
      <c r="TD28" s="156"/>
      <c r="TE28" s="156"/>
      <c r="TF28" s="156"/>
      <c r="TG28" s="156"/>
      <c r="TH28" s="156"/>
      <c r="TI28" s="156"/>
      <c r="TJ28" s="156"/>
      <c r="TK28" s="156"/>
      <c r="TL28" s="156"/>
      <c r="TM28" s="156"/>
      <c r="TN28" s="156"/>
      <c r="TO28" s="156"/>
      <c r="TP28" s="156"/>
      <c r="TQ28" s="156"/>
      <c r="TR28" s="156"/>
      <c r="TS28" s="156"/>
      <c r="TT28" s="156"/>
      <c r="TU28" s="156"/>
      <c r="TV28" s="156"/>
      <c r="TW28" s="156"/>
      <c r="TX28" s="156"/>
      <c r="TY28" s="156"/>
      <c r="TZ28" s="156"/>
      <c r="UA28" s="156"/>
      <c r="UB28" s="156"/>
      <c r="UC28" s="156"/>
      <c r="UD28" s="156"/>
      <c r="UE28" s="156"/>
      <c r="UF28" s="156"/>
      <c r="UG28" s="156"/>
      <c r="UH28" s="156"/>
      <c r="UI28" s="156"/>
      <c r="UJ28" s="156"/>
      <c r="UK28" s="156"/>
      <c r="UL28" s="156"/>
      <c r="UM28" s="156"/>
      <c r="UN28" s="156"/>
      <c r="UO28" s="156"/>
      <c r="UP28" s="156"/>
      <c r="UQ28" s="156"/>
      <c r="UR28" s="156"/>
      <c r="US28" s="156"/>
      <c r="UT28" s="156"/>
      <c r="UU28" s="156"/>
      <c r="UV28" s="156"/>
      <c r="UW28" s="156"/>
      <c r="UX28" s="156"/>
      <c r="UY28" s="156"/>
      <c r="UZ28" s="156"/>
      <c r="VA28" s="156"/>
      <c r="VB28" s="156"/>
      <c r="VC28" s="156"/>
      <c r="VD28" s="156"/>
      <c r="VE28" s="156"/>
      <c r="VF28" s="156"/>
      <c r="VG28" s="156"/>
      <c r="VH28" s="156"/>
      <c r="VI28" s="156"/>
      <c r="VJ28" s="156"/>
      <c r="VK28" s="156"/>
      <c r="VL28" s="156"/>
      <c r="VM28" s="156"/>
      <c r="VN28" s="156"/>
      <c r="VO28" s="156"/>
      <c r="VP28" s="156"/>
      <c r="VQ28" s="156"/>
      <c r="VR28" s="156"/>
      <c r="VS28" s="156"/>
      <c r="VT28" s="156"/>
      <c r="VU28" s="156"/>
      <c r="VV28" s="156"/>
      <c r="VW28" s="156"/>
      <c r="VX28" s="156"/>
      <c r="VY28" s="156"/>
      <c r="VZ28" s="156"/>
      <c r="WA28" s="156"/>
      <c r="WB28" s="156"/>
      <c r="WC28" s="156"/>
      <c r="WD28" s="156"/>
      <c r="WE28" s="156"/>
      <c r="WF28" s="156"/>
      <c r="WG28" s="156"/>
      <c r="WH28" s="156"/>
      <c r="WI28" s="156"/>
      <c r="WJ28" s="156"/>
      <c r="WK28" s="156"/>
      <c r="WL28" s="156"/>
      <c r="WM28" s="156"/>
      <c r="WN28" s="156"/>
      <c r="WO28" s="156"/>
      <c r="WP28" s="156"/>
      <c r="WQ28" s="156"/>
      <c r="WR28" s="156"/>
      <c r="WS28" s="156"/>
      <c r="WT28" s="156"/>
      <c r="WU28" s="156"/>
      <c r="WV28" s="156"/>
      <c r="WW28" s="156"/>
      <c r="WX28" s="156"/>
      <c r="WY28" s="156"/>
      <c r="WZ28" s="156"/>
      <c r="XA28" s="156"/>
      <c r="XB28" s="156"/>
      <c r="XC28" s="156"/>
      <c r="XD28" s="156"/>
      <c r="XE28" s="156"/>
      <c r="XF28" s="156"/>
      <c r="XG28" s="156"/>
      <c r="XH28" s="156"/>
      <c r="XI28" s="156"/>
      <c r="XJ28" s="156"/>
      <c r="XK28" s="156"/>
      <c r="XL28" s="156"/>
      <c r="XM28" s="156"/>
      <c r="XN28" s="156"/>
      <c r="XO28" s="156"/>
      <c r="XP28" s="156"/>
      <c r="XQ28" s="156"/>
      <c r="XR28" s="156"/>
      <c r="XS28" s="156"/>
      <c r="XT28" s="156"/>
      <c r="XU28" s="156"/>
      <c r="XV28" s="156"/>
      <c r="XW28" s="156"/>
      <c r="XX28" s="156"/>
      <c r="XY28" s="156"/>
      <c r="XZ28" s="156"/>
      <c r="YA28" s="156"/>
      <c r="YB28" s="156"/>
      <c r="YC28" s="156"/>
      <c r="YD28" s="156"/>
      <c r="YE28" s="156"/>
      <c r="YF28" s="156"/>
      <c r="YG28" s="156"/>
      <c r="YH28" s="156"/>
      <c r="YI28" s="156"/>
      <c r="YJ28" s="156"/>
      <c r="YK28" s="156"/>
      <c r="YL28" s="156"/>
      <c r="YM28" s="156"/>
      <c r="YN28" s="156"/>
      <c r="YO28" s="156"/>
      <c r="YP28" s="156"/>
      <c r="YQ28" s="156"/>
      <c r="YR28" s="156"/>
      <c r="YS28" s="156"/>
      <c r="YT28" s="156"/>
      <c r="YU28" s="156"/>
      <c r="YV28" s="156"/>
      <c r="YW28" s="156"/>
      <c r="YX28" s="156"/>
      <c r="YY28" s="156"/>
      <c r="YZ28" s="156"/>
      <c r="ZA28" s="156"/>
      <c r="ZB28" s="156"/>
      <c r="ZC28" s="156"/>
      <c r="ZD28" s="156"/>
      <c r="ZE28" s="156"/>
      <c r="ZF28" s="156"/>
      <c r="ZG28" s="156"/>
      <c r="ZH28" s="156"/>
      <c r="ZI28" s="156"/>
      <c r="ZJ28" s="156"/>
      <c r="ZK28" s="156"/>
      <c r="ZL28" s="156"/>
      <c r="ZM28" s="156"/>
      <c r="ZN28" s="156"/>
      <c r="ZO28" s="156"/>
      <c r="ZP28" s="156"/>
      <c r="ZQ28" s="156"/>
      <c r="ZR28" s="156"/>
      <c r="ZS28" s="156"/>
      <c r="ZT28" s="156"/>
      <c r="ZU28" s="156"/>
      <c r="ZV28" s="156"/>
      <c r="ZW28" s="156"/>
      <c r="ZX28" s="156"/>
      <c r="ZY28" s="156"/>
      <c r="ZZ28" s="156"/>
      <c r="AAA28" s="156"/>
      <c r="AAB28" s="156"/>
      <c r="AAC28" s="156"/>
      <c r="AAD28" s="156"/>
      <c r="AAE28" s="156"/>
      <c r="AAF28" s="156"/>
      <c r="AAG28" s="156"/>
      <c r="AAH28" s="156"/>
      <c r="AAI28" s="156"/>
      <c r="AAJ28" s="156"/>
      <c r="AAK28" s="156"/>
      <c r="AAL28" s="156"/>
      <c r="AAM28" s="156"/>
      <c r="AAN28" s="156"/>
      <c r="AAO28" s="156"/>
      <c r="AAP28" s="156"/>
      <c r="AAQ28" s="156"/>
      <c r="AAR28" s="156"/>
      <c r="AAS28" s="156"/>
      <c r="AAT28" s="156"/>
      <c r="AAU28" s="156"/>
      <c r="AAV28" s="156"/>
      <c r="AAW28" s="156"/>
      <c r="AAX28" s="156"/>
      <c r="AAY28" s="156"/>
      <c r="AAZ28" s="156"/>
      <c r="ABA28" s="156"/>
      <c r="ABB28" s="156"/>
      <c r="ABC28" s="156"/>
      <c r="ABD28" s="156"/>
      <c r="ABE28" s="156"/>
      <c r="ABF28" s="156"/>
      <c r="ABG28" s="156"/>
      <c r="ABH28" s="156"/>
      <c r="ABI28" s="156"/>
      <c r="ABJ28" s="156"/>
      <c r="ABK28" s="156"/>
      <c r="ABL28" s="156"/>
      <c r="ABM28" s="156"/>
      <c r="ABN28" s="156"/>
      <c r="ABO28" s="156"/>
      <c r="ABP28" s="156"/>
      <c r="ABQ28" s="156"/>
      <c r="ABR28" s="156"/>
      <c r="ABS28" s="156"/>
      <c r="ABT28" s="156"/>
      <c r="ABU28" s="156"/>
      <c r="ABV28" s="156"/>
      <c r="ABW28" s="156"/>
      <c r="ABX28" s="156"/>
      <c r="ABY28" s="156"/>
      <c r="ABZ28" s="156"/>
      <c r="ACA28" s="156"/>
      <c r="ACB28" s="156"/>
      <c r="ACC28" s="156"/>
      <c r="ACD28" s="156"/>
      <c r="ACE28" s="156"/>
      <c r="ACF28" s="156"/>
      <c r="ACG28" s="156"/>
      <c r="ACH28" s="156"/>
      <c r="ACI28" s="156"/>
      <c r="ACJ28" s="156"/>
      <c r="ACK28" s="156"/>
      <c r="ACL28" s="156"/>
      <c r="ACM28" s="156"/>
      <c r="ACN28" s="156"/>
      <c r="ACO28" s="156"/>
      <c r="ACP28" s="156"/>
      <c r="ACQ28" s="156"/>
      <c r="ACR28" s="156"/>
      <c r="ACS28" s="156"/>
      <c r="ACT28" s="156"/>
      <c r="ACU28" s="156"/>
      <c r="ACV28" s="156"/>
      <c r="ACW28" s="156"/>
      <c r="ACX28" s="156"/>
      <c r="ACY28" s="156"/>
      <c r="ACZ28" s="156"/>
      <c r="ADA28" s="156"/>
      <c r="ADB28" s="156"/>
      <c r="ADC28" s="156"/>
      <c r="ADD28" s="156"/>
      <c r="ADE28" s="156"/>
      <c r="ADF28" s="156"/>
      <c r="ADG28" s="156"/>
      <c r="ADH28" s="156"/>
      <c r="ADI28" s="156"/>
      <c r="ADJ28" s="156"/>
      <c r="ADK28" s="156"/>
      <c r="ADL28" s="156"/>
      <c r="ADM28" s="156"/>
      <c r="ADN28" s="156"/>
      <c r="ADO28" s="156"/>
      <c r="ADP28" s="156"/>
      <c r="ADQ28" s="156"/>
      <c r="ADR28" s="156"/>
      <c r="ADS28" s="156"/>
      <c r="ADT28" s="156"/>
      <c r="ADU28" s="156"/>
      <c r="ADV28" s="156"/>
      <c r="ADW28" s="156"/>
      <c r="ADX28" s="156"/>
      <c r="ADY28" s="156"/>
      <c r="ADZ28" s="156"/>
      <c r="AEA28" s="156"/>
      <c r="AEB28" s="156"/>
      <c r="AEC28" s="156"/>
      <c r="AED28" s="156"/>
      <c r="AEE28" s="156"/>
      <c r="AEF28" s="156"/>
      <c r="AEG28" s="156"/>
      <c r="AEH28" s="156"/>
      <c r="AEI28" s="156"/>
      <c r="AEJ28" s="156"/>
      <c r="AEK28" s="156"/>
      <c r="AEL28" s="156"/>
      <c r="AEM28" s="156"/>
      <c r="AEN28" s="156"/>
      <c r="AEO28" s="156"/>
      <c r="AEP28" s="156"/>
      <c r="AEQ28" s="156"/>
      <c r="AER28" s="156"/>
      <c r="AES28" s="156"/>
      <c r="AET28" s="156"/>
      <c r="AEU28" s="156"/>
      <c r="AEV28" s="156"/>
      <c r="AEW28" s="156"/>
      <c r="AEX28" s="156"/>
      <c r="AEY28" s="156"/>
      <c r="AEZ28" s="156"/>
      <c r="AFA28" s="156"/>
      <c r="AFB28" s="156"/>
      <c r="AFC28" s="156"/>
      <c r="AFD28" s="156"/>
      <c r="AFE28" s="156"/>
      <c r="AFF28" s="156"/>
      <c r="AFG28" s="156"/>
      <c r="AFH28" s="156"/>
      <c r="AFI28" s="156"/>
      <c r="AFJ28" s="156"/>
      <c r="AFK28" s="156"/>
      <c r="AFL28" s="156"/>
      <c r="AFM28" s="156"/>
      <c r="AFN28" s="156"/>
      <c r="AFO28" s="156"/>
      <c r="AFP28" s="156"/>
      <c r="AFQ28" s="156"/>
      <c r="AFR28" s="156"/>
      <c r="AFS28" s="156"/>
      <c r="AFT28" s="156"/>
      <c r="AFU28" s="156"/>
      <c r="AFV28" s="156"/>
      <c r="AFW28" s="156"/>
      <c r="AFX28" s="156"/>
      <c r="AFY28" s="156"/>
      <c r="AFZ28" s="156"/>
      <c r="AGA28" s="156"/>
      <c r="AGB28" s="156"/>
      <c r="AGC28" s="156"/>
      <c r="AGD28" s="156"/>
      <c r="AGE28" s="156"/>
      <c r="AGF28" s="156"/>
      <c r="AGG28" s="156"/>
      <c r="AGH28" s="156"/>
      <c r="AGI28" s="156"/>
      <c r="AGJ28" s="156"/>
      <c r="AGK28" s="156"/>
      <c r="AGL28" s="156"/>
      <c r="AGM28" s="156"/>
      <c r="AGN28" s="156"/>
      <c r="AGO28" s="156"/>
      <c r="AGP28" s="156"/>
      <c r="AGQ28" s="156"/>
      <c r="AGR28" s="156"/>
      <c r="AGS28" s="156"/>
      <c r="AGT28" s="156"/>
      <c r="AGU28" s="156"/>
      <c r="AGV28" s="156"/>
      <c r="AGW28" s="156"/>
      <c r="AGX28" s="156"/>
      <c r="AGY28" s="156"/>
      <c r="AGZ28" s="156"/>
      <c r="AHA28" s="156"/>
      <c r="AHB28" s="156"/>
      <c r="AHC28" s="156"/>
      <c r="AHD28" s="156"/>
      <c r="AHE28" s="156"/>
      <c r="AHF28" s="156"/>
      <c r="AHG28" s="156"/>
      <c r="AHH28" s="156"/>
      <c r="AHI28" s="156"/>
      <c r="AHJ28" s="156"/>
      <c r="AHK28" s="156"/>
      <c r="AHL28" s="156"/>
      <c r="AHM28" s="156"/>
      <c r="AHN28" s="156"/>
      <c r="AHO28" s="156"/>
      <c r="AHP28" s="156"/>
      <c r="AHQ28" s="156"/>
      <c r="AHR28" s="156"/>
      <c r="AHS28" s="156"/>
      <c r="AHT28" s="156"/>
      <c r="AHU28" s="156"/>
      <c r="AHV28" s="156"/>
      <c r="AHW28" s="156"/>
      <c r="AHX28" s="156"/>
      <c r="AHY28" s="156"/>
      <c r="AHZ28" s="156"/>
      <c r="AIA28" s="156"/>
      <c r="AIB28" s="156"/>
      <c r="AIC28" s="156"/>
      <c r="AID28" s="156"/>
      <c r="AIE28" s="156"/>
      <c r="AIF28" s="156"/>
      <c r="AIG28" s="156"/>
      <c r="AIH28" s="156"/>
      <c r="AII28" s="156"/>
      <c r="AIJ28" s="156"/>
      <c r="AIK28" s="156"/>
      <c r="AIL28" s="156"/>
      <c r="AIM28" s="156"/>
      <c r="AIN28" s="156"/>
      <c r="AIO28" s="156"/>
      <c r="AIP28" s="156"/>
      <c r="AIQ28" s="156"/>
      <c r="AIR28" s="156"/>
      <c r="AIS28" s="156"/>
      <c r="AIT28" s="156"/>
      <c r="AIU28" s="156"/>
      <c r="AIV28" s="156"/>
      <c r="AIW28" s="156"/>
      <c r="AIX28" s="156"/>
      <c r="AIY28" s="156"/>
      <c r="AIZ28" s="156"/>
      <c r="AJA28" s="156"/>
      <c r="AJB28" s="156"/>
      <c r="AJC28" s="156"/>
      <c r="AJD28" s="156"/>
      <c r="AJE28" s="156"/>
      <c r="AJF28" s="156"/>
      <c r="AJG28" s="156"/>
      <c r="AJH28" s="156"/>
      <c r="AJI28" s="156"/>
      <c r="AJJ28" s="156"/>
      <c r="AJK28" s="156"/>
      <c r="AJL28" s="156"/>
      <c r="AJM28" s="156"/>
      <c r="AJN28" s="156"/>
      <c r="AJO28" s="156"/>
      <c r="AJP28" s="156"/>
      <c r="AJQ28" s="156"/>
      <c r="AJR28" s="156"/>
      <c r="AJS28" s="156"/>
      <c r="AJT28" s="156"/>
      <c r="AJU28" s="156"/>
      <c r="AJV28" s="156"/>
      <c r="AJW28" s="156"/>
      <c r="AJX28" s="156"/>
      <c r="AJY28" s="156"/>
      <c r="AJZ28" s="156"/>
      <c r="AKA28" s="156"/>
      <c r="AKB28" s="156"/>
      <c r="AKC28" s="156"/>
      <c r="AKD28" s="156"/>
      <c r="AKE28" s="156"/>
      <c r="AKF28" s="156"/>
      <c r="AKG28" s="156"/>
      <c r="AKH28" s="156"/>
      <c r="AKI28" s="156"/>
      <c r="AKJ28" s="156"/>
      <c r="AKK28" s="156"/>
      <c r="AKL28" s="156"/>
      <c r="AKM28" s="156"/>
      <c r="AKN28" s="156"/>
      <c r="AKO28" s="156"/>
      <c r="AKP28" s="156"/>
      <c r="AKQ28" s="156"/>
      <c r="AKR28" s="156"/>
      <c r="AKS28" s="156"/>
      <c r="AKT28" s="156"/>
      <c r="AKU28" s="156"/>
      <c r="AKV28" s="156"/>
      <c r="AKW28" s="156"/>
      <c r="AKX28" s="156"/>
      <c r="AKY28" s="156"/>
      <c r="AKZ28" s="156"/>
      <c r="ALA28" s="156"/>
      <c r="ALB28" s="156"/>
      <c r="ALC28" s="156"/>
      <c r="ALD28" s="156"/>
      <c r="ALE28" s="156"/>
      <c r="ALF28" s="156"/>
      <c r="ALG28" s="156"/>
      <c r="ALH28" s="156"/>
      <c r="ALI28" s="156"/>
      <c r="ALJ28" s="156"/>
      <c r="ALK28" s="156"/>
      <c r="ALL28" s="156"/>
      <c r="ALM28" s="156"/>
      <c r="ALN28" s="156"/>
      <c r="ALO28" s="156"/>
      <c r="ALP28" s="156"/>
      <c r="ALQ28" s="156"/>
      <c r="ALR28" s="156"/>
      <c r="ALS28" s="156"/>
      <c r="ALT28" s="156"/>
      <c r="ALU28" s="156"/>
      <c r="ALV28" s="156"/>
      <c r="ALW28" s="156"/>
      <c r="ALX28" s="156"/>
      <c r="ALY28" s="156"/>
      <c r="ALZ28" s="156"/>
      <c r="AMA28" s="156"/>
      <c r="AMB28" s="156"/>
      <c r="AMC28" s="156"/>
      <c r="AMD28" s="156"/>
      <c r="AME28" s="156"/>
      <c r="AMF28" s="156"/>
      <c r="AMG28" s="156"/>
      <c r="AMH28" s="156"/>
      <c r="AMI28" s="156"/>
    </row>
    <row r="29" spans="1:1023" s="325" customFormat="1">
      <c r="A29" s="184"/>
      <c r="B29" s="185" t="s">
        <v>43</v>
      </c>
      <c r="C29" s="185"/>
      <c r="D29" s="186"/>
      <c r="E29" s="186"/>
      <c r="F29" s="186"/>
      <c r="G29" s="187">
        <f>SUM(G26:G28)</f>
        <v>48200</v>
      </c>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6"/>
      <c r="EM29" s="156"/>
      <c r="EN29" s="156"/>
      <c r="EO29" s="156"/>
      <c r="EP29" s="156"/>
      <c r="EQ29" s="156"/>
      <c r="ER29" s="156"/>
      <c r="ES29" s="156"/>
      <c r="ET29" s="156"/>
      <c r="EU29" s="156"/>
      <c r="EV29" s="156"/>
      <c r="EW29" s="156"/>
      <c r="EX29" s="156"/>
      <c r="EY29" s="156"/>
      <c r="EZ29" s="156"/>
      <c r="FA29" s="156"/>
      <c r="FB29" s="156"/>
      <c r="FC29" s="156"/>
      <c r="FD29" s="156"/>
      <c r="FE29" s="156"/>
      <c r="FF29" s="156"/>
      <c r="FG29" s="156"/>
      <c r="FH29" s="156"/>
      <c r="FI29" s="156"/>
      <c r="FJ29" s="156"/>
      <c r="FK29" s="156"/>
      <c r="FL29" s="156"/>
      <c r="FM29" s="156"/>
      <c r="FN29" s="156"/>
      <c r="FO29" s="156"/>
      <c r="FP29" s="156"/>
      <c r="FQ29" s="156"/>
      <c r="FR29" s="156"/>
      <c r="FS29" s="156"/>
      <c r="FT29" s="156"/>
      <c r="FU29" s="156"/>
      <c r="FV29" s="156"/>
      <c r="FW29" s="156"/>
      <c r="FX29" s="156"/>
      <c r="FY29" s="156"/>
      <c r="FZ29" s="156"/>
      <c r="GA29" s="156"/>
      <c r="GB29" s="156"/>
      <c r="GC29" s="156"/>
      <c r="GD29" s="156"/>
      <c r="GE29" s="156"/>
      <c r="GF29" s="156"/>
      <c r="GG29" s="156"/>
      <c r="GH29" s="156"/>
      <c r="GI29" s="156"/>
      <c r="GJ29" s="156"/>
      <c r="GK29" s="156"/>
      <c r="GL29" s="156"/>
      <c r="GM29" s="156"/>
      <c r="GN29" s="156"/>
      <c r="GO29" s="156"/>
      <c r="GP29" s="156"/>
      <c r="GQ29" s="156"/>
      <c r="GR29" s="156"/>
      <c r="GS29" s="156"/>
      <c r="GT29" s="156"/>
      <c r="GU29" s="156"/>
      <c r="GV29" s="156"/>
      <c r="GW29" s="156"/>
      <c r="GX29" s="156"/>
      <c r="GY29" s="156"/>
      <c r="GZ29" s="156"/>
      <c r="HA29" s="156"/>
      <c r="HB29" s="156"/>
      <c r="HC29" s="156"/>
      <c r="HD29" s="156"/>
      <c r="HE29" s="156"/>
      <c r="HF29" s="156"/>
      <c r="HG29" s="156"/>
      <c r="HH29" s="156"/>
      <c r="HI29" s="156"/>
      <c r="HJ29" s="156"/>
      <c r="HK29" s="156"/>
      <c r="HL29" s="156"/>
      <c r="HM29" s="156"/>
      <c r="HN29" s="156"/>
      <c r="HO29" s="156"/>
      <c r="HP29" s="156"/>
      <c r="HQ29" s="156"/>
      <c r="HR29" s="156"/>
      <c r="HS29" s="156"/>
      <c r="HT29" s="156"/>
      <c r="HU29" s="156"/>
      <c r="HV29" s="156"/>
      <c r="HW29" s="156"/>
      <c r="HX29" s="156"/>
      <c r="HY29" s="156"/>
      <c r="HZ29" s="156"/>
      <c r="IA29" s="156"/>
      <c r="IB29" s="156"/>
      <c r="IC29" s="156"/>
      <c r="ID29" s="156"/>
      <c r="IE29" s="156"/>
      <c r="IF29" s="156"/>
      <c r="IG29" s="156"/>
      <c r="IH29" s="156"/>
      <c r="II29" s="156"/>
      <c r="IJ29" s="156"/>
      <c r="IK29" s="156"/>
      <c r="IL29" s="156"/>
      <c r="IM29" s="156"/>
      <c r="IN29" s="156"/>
      <c r="IO29" s="156"/>
      <c r="IP29" s="156"/>
      <c r="IQ29" s="156"/>
      <c r="IR29" s="156"/>
      <c r="IS29" s="156"/>
      <c r="IT29" s="156"/>
      <c r="IU29" s="156"/>
      <c r="IV29" s="156"/>
      <c r="IW29" s="156"/>
      <c r="IX29" s="156"/>
      <c r="IY29" s="156"/>
      <c r="IZ29" s="156"/>
      <c r="JA29" s="156"/>
      <c r="JB29" s="156"/>
      <c r="JC29" s="156"/>
      <c r="JD29" s="156"/>
      <c r="JE29" s="156"/>
      <c r="JF29" s="156"/>
      <c r="JG29" s="156"/>
      <c r="JH29" s="156"/>
      <c r="JI29" s="156"/>
      <c r="JJ29" s="156"/>
      <c r="JK29" s="156"/>
      <c r="JL29" s="156"/>
      <c r="JM29" s="156"/>
      <c r="JN29" s="156"/>
      <c r="JO29" s="156"/>
      <c r="JP29" s="156"/>
      <c r="JQ29" s="156"/>
      <c r="JR29" s="156"/>
      <c r="JS29" s="156"/>
      <c r="JT29" s="156"/>
      <c r="JU29" s="156"/>
      <c r="JV29" s="156"/>
      <c r="JW29" s="156"/>
      <c r="JX29" s="156"/>
      <c r="JY29" s="156"/>
      <c r="JZ29" s="156"/>
      <c r="KA29" s="156"/>
      <c r="KB29" s="156"/>
      <c r="KC29" s="156"/>
      <c r="KD29" s="156"/>
      <c r="KE29" s="156"/>
      <c r="KF29" s="156"/>
      <c r="KG29" s="156"/>
      <c r="KH29" s="156"/>
      <c r="KI29" s="156"/>
      <c r="KJ29" s="156"/>
      <c r="KK29" s="156"/>
      <c r="KL29" s="156"/>
      <c r="KM29" s="156"/>
      <c r="KN29" s="156"/>
      <c r="KO29" s="156"/>
      <c r="KP29" s="156"/>
      <c r="KQ29" s="156"/>
      <c r="KR29" s="156"/>
      <c r="KS29" s="156"/>
      <c r="KT29" s="156"/>
      <c r="KU29" s="156"/>
      <c r="KV29" s="156"/>
      <c r="KW29" s="156"/>
      <c r="KX29" s="156"/>
      <c r="KY29" s="156"/>
      <c r="KZ29" s="156"/>
      <c r="LA29" s="156"/>
      <c r="LB29" s="156"/>
      <c r="LC29" s="156"/>
      <c r="LD29" s="156"/>
      <c r="LE29" s="156"/>
      <c r="LF29" s="156"/>
      <c r="LG29" s="156"/>
      <c r="LH29" s="156"/>
      <c r="LI29" s="156"/>
      <c r="LJ29" s="156"/>
      <c r="LK29" s="156"/>
      <c r="LL29" s="156"/>
      <c r="LM29" s="156"/>
      <c r="LN29" s="156"/>
      <c r="LO29" s="156"/>
      <c r="LP29" s="156"/>
      <c r="LQ29" s="156"/>
      <c r="LR29" s="156"/>
      <c r="LS29" s="156"/>
      <c r="LT29" s="156"/>
      <c r="LU29" s="156"/>
      <c r="LV29" s="156"/>
      <c r="LW29" s="156"/>
      <c r="LX29" s="156"/>
      <c r="LY29" s="156"/>
      <c r="LZ29" s="156"/>
      <c r="MA29" s="156"/>
      <c r="MB29" s="156"/>
      <c r="MC29" s="156"/>
      <c r="MD29" s="156"/>
      <c r="ME29" s="156"/>
      <c r="MF29" s="156"/>
      <c r="MG29" s="156"/>
      <c r="MH29" s="156"/>
      <c r="MI29" s="156"/>
      <c r="MJ29" s="156"/>
      <c r="MK29" s="156"/>
      <c r="ML29" s="156"/>
      <c r="MM29" s="156"/>
      <c r="MN29" s="156"/>
      <c r="MO29" s="156"/>
      <c r="MP29" s="156"/>
      <c r="MQ29" s="156"/>
      <c r="MR29" s="156"/>
      <c r="MS29" s="156"/>
      <c r="MT29" s="156"/>
      <c r="MU29" s="156"/>
      <c r="MV29" s="156"/>
      <c r="MW29" s="156"/>
      <c r="MX29" s="156"/>
      <c r="MY29" s="156"/>
      <c r="MZ29" s="156"/>
      <c r="NA29" s="156"/>
      <c r="NB29" s="156"/>
      <c r="NC29" s="156"/>
      <c r="ND29" s="156"/>
      <c r="NE29" s="156"/>
      <c r="NF29" s="156"/>
      <c r="NG29" s="156"/>
      <c r="NH29" s="156"/>
      <c r="NI29" s="156"/>
      <c r="NJ29" s="156"/>
      <c r="NK29" s="156"/>
      <c r="NL29" s="156"/>
      <c r="NM29" s="156"/>
      <c r="NN29" s="156"/>
      <c r="NO29" s="156"/>
      <c r="NP29" s="156"/>
      <c r="NQ29" s="156"/>
      <c r="NR29" s="156"/>
      <c r="NS29" s="156"/>
      <c r="NT29" s="156"/>
      <c r="NU29" s="156"/>
      <c r="NV29" s="156"/>
      <c r="NW29" s="156"/>
      <c r="NX29" s="156"/>
      <c r="NY29" s="156"/>
      <c r="NZ29" s="156"/>
      <c r="OA29" s="156"/>
      <c r="OB29" s="156"/>
      <c r="OC29" s="156"/>
      <c r="OD29" s="156"/>
      <c r="OE29" s="156"/>
      <c r="OF29" s="156"/>
      <c r="OG29" s="156"/>
      <c r="OH29" s="156"/>
      <c r="OI29" s="156"/>
      <c r="OJ29" s="156"/>
      <c r="OK29" s="156"/>
      <c r="OL29" s="156"/>
      <c r="OM29" s="156"/>
      <c r="ON29" s="156"/>
      <c r="OO29" s="156"/>
      <c r="OP29" s="156"/>
      <c r="OQ29" s="156"/>
      <c r="OR29" s="156"/>
      <c r="OS29" s="156"/>
      <c r="OT29" s="156"/>
      <c r="OU29" s="156"/>
      <c r="OV29" s="156"/>
      <c r="OW29" s="156"/>
      <c r="OX29" s="156"/>
      <c r="OY29" s="156"/>
      <c r="OZ29" s="156"/>
      <c r="PA29" s="156"/>
      <c r="PB29" s="156"/>
      <c r="PC29" s="156"/>
      <c r="PD29" s="156"/>
      <c r="PE29" s="156"/>
      <c r="PF29" s="156"/>
      <c r="PG29" s="156"/>
      <c r="PH29" s="156"/>
      <c r="PI29" s="156"/>
      <c r="PJ29" s="156"/>
      <c r="PK29" s="156"/>
      <c r="PL29" s="156"/>
      <c r="PM29" s="156"/>
      <c r="PN29" s="156"/>
      <c r="PO29" s="156"/>
      <c r="PP29" s="156"/>
      <c r="PQ29" s="156"/>
      <c r="PR29" s="156"/>
      <c r="PS29" s="156"/>
      <c r="PT29" s="156"/>
      <c r="PU29" s="156"/>
      <c r="PV29" s="156"/>
      <c r="PW29" s="156"/>
      <c r="PX29" s="156"/>
      <c r="PY29" s="156"/>
      <c r="PZ29" s="156"/>
      <c r="QA29" s="156"/>
      <c r="QB29" s="156"/>
      <c r="QC29" s="156"/>
      <c r="QD29" s="156"/>
      <c r="QE29" s="156"/>
      <c r="QF29" s="156"/>
      <c r="QG29" s="156"/>
      <c r="QH29" s="156"/>
      <c r="QI29" s="156"/>
      <c r="QJ29" s="156"/>
      <c r="QK29" s="156"/>
      <c r="QL29" s="156"/>
      <c r="QM29" s="156"/>
      <c r="QN29" s="156"/>
      <c r="QO29" s="156"/>
      <c r="QP29" s="156"/>
      <c r="QQ29" s="156"/>
      <c r="QR29" s="156"/>
      <c r="QS29" s="156"/>
      <c r="QT29" s="156"/>
      <c r="QU29" s="156"/>
      <c r="QV29" s="156"/>
      <c r="QW29" s="156"/>
      <c r="QX29" s="156"/>
      <c r="QY29" s="156"/>
      <c r="QZ29" s="156"/>
      <c r="RA29" s="156"/>
      <c r="RB29" s="156"/>
      <c r="RC29" s="156"/>
      <c r="RD29" s="156"/>
      <c r="RE29" s="156"/>
      <c r="RF29" s="156"/>
      <c r="RG29" s="156"/>
      <c r="RH29" s="156"/>
      <c r="RI29" s="156"/>
      <c r="RJ29" s="156"/>
      <c r="RK29" s="156"/>
      <c r="RL29" s="156"/>
      <c r="RM29" s="156"/>
      <c r="RN29" s="156"/>
      <c r="RO29" s="156"/>
      <c r="RP29" s="156"/>
      <c r="RQ29" s="156"/>
      <c r="RR29" s="156"/>
      <c r="RS29" s="156"/>
      <c r="RT29" s="156"/>
      <c r="RU29" s="156"/>
      <c r="RV29" s="156"/>
      <c r="RW29" s="156"/>
      <c r="RX29" s="156"/>
      <c r="RY29" s="156"/>
      <c r="RZ29" s="156"/>
      <c r="SA29" s="156"/>
      <c r="SB29" s="156"/>
      <c r="SC29" s="156"/>
      <c r="SD29" s="156"/>
      <c r="SE29" s="156"/>
      <c r="SF29" s="156"/>
      <c r="SG29" s="156"/>
      <c r="SH29" s="156"/>
      <c r="SI29" s="156"/>
      <c r="SJ29" s="156"/>
      <c r="SK29" s="156"/>
      <c r="SL29" s="156"/>
      <c r="SM29" s="156"/>
      <c r="SN29" s="156"/>
      <c r="SO29" s="156"/>
      <c r="SP29" s="156"/>
      <c r="SQ29" s="156"/>
      <c r="SR29" s="156"/>
      <c r="SS29" s="156"/>
      <c r="ST29" s="156"/>
      <c r="SU29" s="156"/>
      <c r="SV29" s="156"/>
      <c r="SW29" s="156"/>
      <c r="SX29" s="156"/>
      <c r="SY29" s="156"/>
      <c r="SZ29" s="156"/>
      <c r="TA29" s="156"/>
      <c r="TB29" s="156"/>
      <c r="TC29" s="156"/>
      <c r="TD29" s="156"/>
      <c r="TE29" s="156"/>
      <c r="TF29" s="156"/>
      <c r="TG29" s="156"/>
      <c r="TH29" s="156"/>
      <c r="TI29" s="156"/>
      <c r="TJ29" s="156"/>
      <c r="TK29" s="156"/>
      <c r="TL29" s="156"/>
      <c r="TM29" s="156"/>
      <c r="TN29" s="156"/>
      <c r="TO29" s="156"/>
      <c r="TP29" s="156"/>
      <c r="TQ29" s="156"/>
      <c r="TR29" s="156"/>
      <c r="TS29" s="156"/>
      <c r="TT29" s="156"/>
      <c r="TU29" s="156"/>
      <c r="TV29" s="156"/>
      <c r="TW29" s="156"/>
      <c r="TX29" s="156"/>
      <c r="TY29" s="156"/>
      <c r="TZ29" s="156"/>
      <c r="UA29" s="156"/>
      <c r="UB29" s="156"/>
      <c r="UC29" s="156"/>
      <c r="UD29" s="156"/>
      <c r="UE29" s="156"/>
      <c r="UF29" s="156"/>
      <c r="UG29" s="156"/>
      <c r="UH29" s="156"/>
      <c r="UI29" s="156"/>
      <c r="UJ29" s="156"/>
      <c r="UK29" s="156"/>
      <c r="UL29" s="156"/>
      <c r="UM29" s="156"/>
      <c r="UN29" s="156"/>
      <c r="UO29" s="156"/>
      <c r="UP29" s="156"/>
      <c r="UQ29" s="156"/>
      <c r="UR29" s="156"/>
      <c r="US29" s="156"/>
      <c r="UT29" s="156"/>
      <c r="UU29" s="156"/>
      <c r="UV29" s="156"/>
      <c r="UW29" s="156"/>
      <c r="UX29" s="156"/>
      <c r="UY29" s="156"/>
      <c r="UZ29" s="156"/>
      <c r="VA29" s="156"/>
      <c r="VB29" s="156"/>
      <c r="VC29" s="156"/>
      <c r="VD29" s="156"/>
      <c r="VE29" s="156"/>
      <c r="VF29" s="156"/>
      <c r="VG29" s="156"/>
      <c r="VH29" s="156"/>
      <c r="VI29" s="156"/>
      <c r="VJ29" s="156"/>
      <c r="VK29" s="156"/>
      <c r="VL29" s="156"/>
      <c r="VM29" s="156"/>
      <c r="VN29" s="156"/>
      <c r="VO29" s="156"/>
      <c r="VP29" s="156"/>
      <c r="VQ29" s="156"/>
      <c r="VR29" s="156"/>
      <c r="VS29" s="156"/>
      <c r="VT29" s="156"/>
      <c r="VU29" s="156"/>
      <c r="VV29" s="156"/>
      <c r="VW29" s="156"/>
      <c r="VX29" s="156"/>
      <c r="VY29" s="156"/>
      <c r="VZ29" s="156"/>
      <c r="WA29" s="156"/>
      <c r="WB29" s="156"/>
      <c r="WC29" s="156"/>
      <c r="WD29" s="156"/>
      <c r="WE29" s="156"/>
      <c r="WF29" s="156"/>
      <c r="WG29" s="156"/>
      <c r="WH29" s="156"/>
      <c r="WI29" s="156"/>
      <c r="WJ29" s="156"/>
      <c r="WK29" s="156"/>
      <c r="WL29" s="156"/>
      <c r="WM29" s="156"/>
      <c r="WN29" s="156"/>
      <c r="WO29" s="156"/>
      <c r="WP29" s="156"/>
      <c r="WQ29" s="156"/>
      <c r="WR29" s="156"/>
      <c r="WS29" s="156"/>
      <c r="WT29" s="156"/>
      <c r="WU29" s="156"/>
      <c r="WV29" s="156"/>
      <c r="WW29" s="156"/>
      <c r="WX29" s="156"/>
      <c r="WY29" s="156"/>
      <c r="WZ29" s="156"/>
      <c r="XA29" s="156"/>
      <c r="XB29" s="156"/>
      <c r="XC29" s="156"/>
      <c r="XD29" s="156"/>
      <c r="XE29" s="156"/>
      <c r="XF29" s="156"/>
      <c r="XG29" s="156"/>
      <c r="XH29" s="156"/>
      <c r="XI29" s="156"/>
      <c r="XJ29" s="156"/>
      <c r="XK29" s="156"/>
      <c r="XL29" s="156"/>
      <c r="XM29" s="156"/>
      <c r="XN29" s="156"/>
      <c r="XO29" s="156"/>
      <c r="XP29" s="156"/>
      <c r="XQ29" s="156"/>
      <c r="XR29" s="156"/>
      <c r="XS29" s="156"/>
      <c r="XT29" s="156"/>
      <c r="XU29" s="156"/>
      <c r="XV29" s="156"/>
      <c r="XW29" s="156"/>
      <c r="XX29" s="156"/>
      <c r="XY29" s="156"/>
      <c r="XZ29" s="156"/>
      <c r="YA29" s="156"/>
      <c r="YB29" s="156"/>
      <c r="YC29" s="156"/>
      <c r="YD29" s="156"/>
      <c r="YE29" s="156"/>
      <c r="YF29" s="156"/>
      <c r="YG29" s="156"/>
      <c r="YH29" s="156"/>
      <c r="YI29" s="156"/>
      <c r="YJ29" s="156"/>
      <c r="YK29" s="156"/>
      <c r="YL29" s="156"/>
      <c r="YM29" s="156"/>
      <c r="YN29" s="156"/>
      <c r="YO29" s="156"/>
      <c r="YP29" s="156"/>
      <c r="YQ29" s="156"/>
      <c r="YR29" s="156"/>
      <c r="YS29" s="156"/>
      <c r="YT29" s="156"/>
      <c r="YU29" s="156"/>
      <c r="YV29" s="156"/>
      <c r="YW29" s="156"/>
      <c r="YX29" s="156"/>
      <c r="YY29" s="156"/>
      <c r="YZ29" s="156"/>
      <c r="ZA29" s="156"/>
      <c r="ZB29" s="156"/>
      <c r="ZC29" s="156"/>
      <c r="ZD29" s="156"/>
      <c r="ZE29" s="156"/>
      <c r="ZF29" s="156"/>
      <c r="ZG29" s="156"/>
      <c r="ZH29" s="156"/>
      <c r="ZI29" s="156"/>
      <c r="ZJ29" s="156"/>
      <c r="ZK29" s="156"/>
      <c r="ZL29" s="156"/>
      <c r="ZM29" s="156"/>
      <c r="ZN29" s="156"/>
      <c r="ZO29" s="156"/>
      <c r="ZP29" s="156"/>
      <c r="ZQ29" s="156"/>
      <c r="ZR29" s="156"/>
      <c r="ZS29" s="156"/>
      <c r="ZT29" s="156"/>
      <c r="ZU29" s="156"/>
      <c r="ZV29" s="156"/>
      <c r="ZW29" s="156"/>
      <c r="ZX29" s="156"/>
      <c r="ZY29" s="156"/>
      <c r="ZZ29" s="156"/>
      <c r="AAA29" s="156"/>
      <c r="AAB29" s="156"/>
      <c r="AAC29" s="156"/>
      <c r="AAD29" s="156"/>
      <c r="AAE29" s="156"/>
      <c r="AAF29" s="156"/>
      <c r="AAG29" s="156"/>
      <c r="AAH29" s="156"/>
      <c r="AAI29" s="156"/>
      <c r="AAJ29" s="156"/>
      <c r="AAK29" s="156"/>
      <c r="AAL29" s="156"/>
      <c r="AAM29" s="156"/>
      <c r="AAN29" s="156"/>
      <c r="AAO29" s="156"/>
      <c r="AAP29" s="156"/>
      <c r="AAQ29" s="156"/>
      <c r="AAR29" s="156"/>
      <c r="AAS29" s="156"/>
      <c r="AAT29" s="156"/>
      <c r="AAU29" s="156"/>
      <c r="AAV29" s="156"/>
      <c r="AAW29" s="156"/>
      <c r="AAX29" s="156"/>
      <c r="AAY29" s="156"/>
      <c r="AAZ29" s="156"/>
      <c r="ABA29" s="156"/>
      <c r="ABB29" s="156"/>
      <c r="ABC29" s="156"/>
      <c r="ABD29" s="156"/>
      <c r="ABE29" s="156"/>
      <c r="ABF29" s="156"/>
      <c r="ABG29" s="156"/>
      <c r="ABH29" s="156"/>
      <c r="ABI29" s="156"/>
      <c r="ABJ29" s="156"/>
      <c r="ABK29" s="156"/>
      <c r="ABL29" s="156"/>
      <c r="ABM29" s="156"/>
      <c r="ABN29" s="156"/>
      <c r="ABO29" s="156"/>
      <c r="ABP29" s="156"/>
      <c r="ABQ29" s="156"/>
      <c r="ABR29" s="156"/>
      <c r="ABS29" s="156"/>
      <c r="ABT29" s="156"/>
      <c r="ABU29" s="156"/>
      <c r="ABV29" s="156"/>
      <c r="ABW29" s="156"/>
      <c r="ABX29" s="156"/>
      <c r="ABY29" s="156"/>
      <c r="ABZ29" s="156"/>
      <c r="ACA29" s="156"/>
      <c r="ACB29" s="156"/>
      <c r="ACC29" s="156"/>
      <c r="ACD29" s="156"/>
      <c r="ACE29" s="156"/>
      <c r="ACF29" s="156"/>
      <c r="ACG29" s="156"/>
      <c r="ACH29" s="156"/>
      <c r="ACI29" s="156"/>
      <c r="ACJ29" s="156"/>
      <c r="ACK29" s="156"/>
      <c r="ACL29" s="156"/>
      <c r="ACM29" s="156"/>
      <c r="ACN29" s="156"/>
      <c r="ACO29" s="156"/>
      <c r="ACP29" s="156"/>
      <c r="ACQ29" s="156"/>
      <c r="ACR29" s="156"/>
      <c r="ACS29" s="156"/>
      <c r="ACT29" s="156"/>
      <c r="ACU29" s="156"/>
      <c r="ACV29" s="156"/>
      <c r="ACW29" s="156"/>
      <c r="ACX29" s="156"/>
      <c r="ACY29" s="156"/>
      <c r="ACZ29" s="156"/>
      <c r="ADA29" s="156"/>
      <c r="ADB29" s="156"/>
      <c r="ADC29" s="156"/>
      <c r="ADD29" s="156"/>
      <c r="ADE29" s="156"/>
      <c r="ADF29" s="156"/>
      <c r="ADG29" s="156"/>
      <c r="ADH29" s="156"/>
      <c r="ADI29" s="156"/>
      <c r="ADJ29" s="156"/>
      <c r="ADK29" s="156"/>
      <c r="ADL29" s="156"/>
      <c r="ADM29" s="156"/>
      <c r="ADN29" s="156"/>
      <c r="ADO29" s="156"/>
      <c r="ADP29" s="156"/>
      <c r="ADQ29" s="156"/>
      <c r="ADR29" s="156"/>
      <c r="ADS29" s="156"/>
      <c r="ADT29" s="156"/>
      <c r="ADU29" s="156"/>
      <c r="ADV29" s="156"/>
      <c r="ADW29" s="156"/>
      <c r="ADX29" s="156"/>
      <c r="ADY29" s="156"/>
      <c r="ADZ29" s="156"/>
      <c r="AEA29" s="156"/>
      <c r="AEB29" s="156"/>
      <c r="AEC29" s="156"/>
      <c r="AED29" s="156"/>
      <c r="AEE29" s="156"/>
      <c r="AEF29" s="156"/>
      <c r="AEG29" s="156"/>
      <c r="AEH29" s="156"/>
      <c r="AEI29" s="156"/>
      <c r="AEJ29" s="156"/>
      <c r="AEK29" s="156"/>
      <c r="AEL29" s="156"/>
      <c r="AEM29" s="156"/>
      <c r="AEN29" s="156"/>
      <c r="AEO29" s="156"/>
      <c r="AEP29" s="156"/>
      <c r="AEQ29" s="156"/>
      <c r="AER29" s="156"/>
      <c r="AES29" s="156"/>
      <c r="AET29" s="156"/>
      <c r="AEU29" s="156"/>
      <c r="AEV29" s="156"/>
      <c r="AEW29" s="156"/>
      <c r="AEX29" s="156"/>
      <c r="AEY29" s="156"/>
      <c r="AEZ29" s="156"/>
      <c r="AFA29" s="156"/>
      <c r="AFB29" s="156"/>
      <c r="AFC29" s="156"/>
      <c r="AFD29" s="156"/>
      <c r="AFE29" s="156"/>
      <c r="AFF29" s="156"/>
      <c r="AFG29" s="156"/>
      <c r="AFH29" s="156"/>
      <c r="AFI29" s="156"/>
      <c r="AFJ29" s="156"/>
      <c r="AFK29" s="156"/>
      <c r="AFL29" s="156"/>
      <c r="AFM29" s="156"/>
      <c r="AFN29" s="156"/>
      <c r="AFO29" s="156"/>
      <c r="AFP29" s="156"/>
      <c r="AFQ29" s="156"/>
      <c r="AFR29" s="156"/>
      <c r="AFS29" s="156"/>
      <c r="AFT29" s="156"/>
      <c r="AFU29" s="156"/>
      <c r="AFV29" s="156"/>
      <c r="AFW29" s="156"/>
      <c r="AFX29" s="156"/>
      <c r="AFY29" s="156"/>
      <c r="AFZ29" s="156"/>
      <c r="AGA29" s="156"/>
      <c r="AGB29" s="156"/>
      <c r="AGC29" s="156"/>
      <c r="AGD29" s="156"/>
      <c r="AGE29" s="156"/>
      <c r="AGF29" s="156"/>
      <c r="AGG29" s="156"/>
      <c r="AGH29" s="156"/>
      <c r="AGI29" s="156"/>
      <c r="AGJ29" s="156"/>
      <c r="AGK29" s="156"/>
      <c r="AGL29" s="156"/>
      <c r="AGM29" s="156"/>
      <c r="AGN29" s="156"/>
      <c r="AGO29" s="156"/>
      <c r="AGP29" s="156"/>
      <c r="AGQ29" s="156"/>
      <c r="AGR29" s="156"/>
      <c r="AGS29" s="156"/>
      <c r="AGT29" s="156"/>
      <c r="AGU29" s="156"/>
      <c r="AGV29" s="156"/>
      <c r="AGW29" s="156"/>
      <c r="AGX29" s="156"/>
      <c r="AGY29" s="156"/>
      <c r="AGZ29" s="156"/>
      <c r="AHA29" s="156"/>
      <c r="AHB29" s="156"/>
      <c r="AHC29" s="156"/>
      <c r="AHD29" s="156"/>
      <c r="AHE29" s="156"/>
      <c r="AHF29" s="156"/>
      <c r="AHG29" s="156"/>
      <c r="AHH29" s="156"/>
      <c r="AHI29" s="156"/>
      <c r="AHJ29" s="156"/>
      <c r="AHK29" s="156"/>
      <c r="AHL29" s="156"/>
      <c r="AHM29" s="156"/>
      <c r="AHN29" s="156"/>
      <c r="AHO29" s="156"/>
      <c r="AHP29" s="156"/>
      <c r="AHQ29" s="156"/>
      <c r="AHR29" s="156"/>
      <c r="AHS29" s="156"/>
      <c r="AHT29" s="156"/>
      <c r="AHU29" s="156"/>
      <c r="AHV29" s="156"/>
      <c r="AHW29" s="156"/>
      <c r="AHX29" s="156"/>
      <c r="AHY29" s="156"/>
      <c r="AHZ29" s="156"/>
      <c r="AIA29" s="156"/>
      <c r="AIB29" s="156"/>
      <c r="AIC29" s="156"/>
      <c r="AID29" s="156"/>
      <c r="AIE29" s="156"/>
      <c r="AIF29" s="156"/>
      <c r="AIG29" s="156"/>
      <c r="AIH29" s="156"/>
      <c r="AII29" s="156"/>
      <c r="AIJ29" s="156"/>
      <c r="AIK29" s="156"/>
      <c r="AIL29" s="156"/>
      <c r="AIM29" s="156"/>
      <c r="AIN29" s="156"/>
      <c r="AIO29" s="156"/>
      <c r="AIP29" s="156"/>
      <c r="AIQ29" s="156"/>
      <c r="AIR29" s="156"/>
      <c r="AIS29" s="156"/>
      <c r="AIT29" s="156"/>
      <c r="AIU29" s="156"/>
      <c r="AIV29" s="156"/>
      <c r="AIW29" s="156"/>
      <c r="AIX29" s="156"/>
      <c r="AIY29" s="156"/>
      <c r="AIZ29" s="156"/>
      <c r="AJA29" s="156"/>
      <c r="AJB29" s="156"/>
      <c r="AJC29" s="156"/>
      <c r="AJD29" s="156"/>
      <c r="AJE29" s="156"/>
      <c r="AJF29" s="156"/>
      <c r="AJG29" s="156"/>
      <c r="AJH29" s="156"/>
      <c r="AJI29" s="156"/>
      <c r="AJJ29" s="156"/>
      <c r="AJK29" s="156"/>
      <c r="AJL29" s="156"/>
      <c r="AJM29" s="156"/>
      <c r="AJN29" s="156"/>
      <c r="AJO29" s="156"/>
      <c r="AJP29" s="156"/>
      <c r="AJQ29" s="156"/>
      <c r="AJR29" s="156"/>
      <c r="AJS29" s="156"/>
      <c r="AJT29" s="156"/>
      <c r="AJU29" s="156"/>
      <c r="AJV29" s="156"/>
      <c r="AJW29" s="156"/>
      <c r="AJX29" s="156"/>
      <c r="AJY29" s="156"/>
      <c r="AJZ29" s="156"/>
      <c r="AKA29" s="156"/>
      <c r="AKB29" s="156"/>
      <c r="AKC29" s="156"/>
      <c r="AKD29" s="156"/>
      <c r="AKE29" s="156"/>
      <c r="AKF29" s="156"/>
      <c r="AKG29" s="156"/>
      <c r="AKH29" s="156"/>
      <c r="AKI29" s="156"/>
      <c r="AKJ29" s="156"/>
      <c r="AKK29" s="156"/>
      <c r="AKL29" s="156"/>
      <c r="AKM29" s="156"/>
      <c r="AKN29" s="156"/>
      <c r="AKO29" s="156"/>
      <c r="AKP29" s="156"/>
      <c r="AKQ29" s="156"/>
      <c r="AKR29" s="156"/>
      <c r="AKS29" s="156"/>
      <c r="AKT29" s="156"/>
      <c r="AKU29" s="156"/>
      <c r="AKV29" s="156"/>
      <c r="AKW29" s="156"/>
      <c r="AKX29" s="156"/>
      <c r="AKY29" s="156"/>
      <c r="AKZ29" s="156"/>
      <c r="ALA29" s="156"/>
      <c r="ALB29" s="156"/>
      <c r="ALC29" s="156"/>
      <c r="ALD29" s="156"/>
      <c r="ALE29" s="156"/>
      <c r="ALF29" s="156"/>
      <c r="ALG29" s="156"/>
      <c r="ALH29" s="156"/>
      <c r="ALI29" s="156"/>
      <c r="ALJ29" s="156"/>
      <c r="ALK29" s="156"/>
      <c r="ALL29" s="156"/>
      <c r="ALM29" s="156"/>
      <c r="ALN29" s="156"/>
      <c r="ALO29" s="156"/>
      <c r="ALP29" s="156"/>
      <c r="ALQ29" s="156"/>
      <c r="ALR29" s="156"/>
      <c r="ALS29" s="156"/>
      <c r="ALT29" s="156"/>
      <c r="ALU29" s="156"/>
      <c r="ALV29" s="156"/>
      <c r="ALW29" s="156"/>
      <c r="ALX29" s="156"/>
      <c r="ALY29" s="156"/>
      <c r="ALZ29" s="156"/>
      <c r="AMA29" s="156"/>
      <c r="AMB29" s="156"/>
      <c r="AMC29" s="156"/>
      <c r="AMD29" s="156"/>
      <c r="AME29" s="156"/>
      <c r="AMF29" s="156"/>
      <c r="AMG29" s="156"/>
      <c r="AMH29" s="156"/>
      <c r="AMI29" s="156"/>
    </row>
    <row r="30" spans="1:1023" s="325" customFormat="1">
      <c r="A30" s="321"/>
      <c r="B30" s="322"/>
      <c r="C30" s="322"/>
      <c r="D30" s="323"/>
      <c r="E30" s="323"/>
      <c r="F30" s="323"/>
      <c r="G30" s="324"/>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c r="IQ30" s="156"/>
      <c r="IR30" s="156"/>
      <c r="IS30" s="156"/>
      <c r="IT30" s="156"/>
      <c r="IU30" s="156"/>
      <c r="IV30" s="156"/>
      <c r="IW30" s="156"/>
      <c r="IX30" s="156"/>
      <c r="IY30" s="156"/>
      <c r="IZ30" s="156"/>
      <c r="JA30" s="156"/>
      <c r="JB30" s="156"/>
      <c r="JC30" s="156"/>
      <c r="JD30" s="156"/>
      <c r="JE30" s="156"/>
      <c r="JF30" s="156"/>
      <c r="JG30" s="156"/>
      <c r="JH30" s="156"/>
      <c r="JI30" s="156"/>
      <c r="JJ30" s="156"/>
      <c r="JK30" s="156"/>
      <c r="JL30" s="156"/>
      <c r="JM30" s="156"/>
      <c r="JN30" s="156"/>
      <c r="JO30" s="156"/>
      <c r="JP30" s="156"/>
      <c r="JQ30" s="156"/>
      <c r="JR30" s="156"/>
      <c r="JS30" s="156"/>
      <c r="JT30" s="156"/>
      <c r="JU30" s="156"/>
      <c r="JV30" s="156"/>
      <c r="JW30" s="156"/>
      <c r="JX30" s="156"/>
      <c r="JY30" s="156"/>
      <c r="JZ30" s="156"/>
      <c r="KA30" s="156"/>
      <c r="KB30" s="156"/>
      <c r="KC30" s="156"/>
      <c r="KD30" s="156"/>
      <c r="KE30" s="156"/>
      <c r="KF30" s="156"/>
      <c r="KG30" s="156"/>
      <c r="KH30" s="156"/>
      <c r="KI30" s="156"/>
      <c r="KJ30" s="156"/>
      <c r="KK30" s="156"/>
      <c r="KL30" s="156"/>
      <c r="KM30" s="156"/>
      <c r="KN30" s="156"/>
      <c r="KO30" s="156"/>
      <c r="KP30" s="156"/>
      <c r="KQ30" s="156"/>
      <c r="KR30" s="156"/>
      <c r="KS30" s="156"/>
      <c r="KT30" s="156"/>
      <c r="KU30" s="156"/>
      <c r="KV30" s="156"/>
      <c r="KW30" s="156"/>
      <c r="KX30" s="156"/>
      <c r="KY30" s="156"/>
      <c r="KZ30" s="156"/>
      <c r="LA30" s="156"/>
      <c r="LB30" s="156"/>
      <c r="LC30" s="156"/>
      <c r="LD30" s="156"/>
      <c r="LE30" s="156"/>
      <c r="LF30" s="156"/>
      <c r="LG30" s="156"/>
      <c r="LH30" s="156"/>
      <c r="LI30" s="156"/>
      <c r="LJ30" s="156"/>
      <c r="LK30" s="156"/>
      <c r="LL30" s="156"/>
      <c r="LM30" s="156"/>
      <c r="LN30" s="156"/>
      <c r="LO30" s="156"/>
      <c r="LP30" s="156"/>
      <c r="LQ30" s="156"/>
      <c r="LR30" s="156"/>
      <c r="LS30" s="156"/>
      <c r="LT30" s="156"/>
      <c r="LU30" s="156"/>
      <c r="LV30" s="156"/>
      <c r="LW30" s="156"/>
      <c r="LX30" s="156"/>
      <c r="LY30" s="156"/>
      <c r="LZ30" s="156"/>
      <c r="MA30" s="156"/>
      <c r="MB30" s="156"/>
      <c r="MC30" s="156"/>
      <c r="MD30" s="156"/>
      <c r="ME30" s="156"/>
      <c r="MF30" s="156"/>
      <c r="MG30" s="156"/>
      <c r="MH30" s="156"/>
      <c r="MI30" s="156"/>
      <c r="MJ30" s="156"/>
      <c r="MK30" s="156"/>
      <c r="ML30" s="156"/>
      <c r="MM30" s="156"/>
      <c r="MN30" s="156"/>
      <c r="MO30" s="156"/>
      <c r="MP30" s="156"/>
      <c r="MQ30" s="156"/>
      <c r="MR30" s="156"/>
      <c r="MS30" s="156"/>
      <c r="MT30" s="156"/>
      <c r="MU30" s="156"/>
      <c r="MV30" s="156"/>
      <c r="MW30" s="156"/>
      <c r="MX30" s="156"/>
      <c r="MY30" s="156"/>
      <c r="MZ30" s="156"/>
      <c r="NA30" s="156"/>
      <c r="NB30" s="156"/>
      <c r="NC30" s="156"/>
      <c r="ND30" s="156"/>
      <c r="NE30" s="156"/>
      <c r="NF30" s="156"/>
      <c r="NG30" s="156"/>
      <c r="NH30" s="156"/>
      <c r="NI30" s="156"/>
      <c r="NJ30" s="156"/>
      <c r="NK30" s="156"/>
      <c r="NL30" s="156"/>
      <c r="NM30" s="156"/>
      <c r="NN30" s="156"/>
      <c r="NO30" s="156"/>
      <c r="NP30" s="156"/>
      <c r="NQ30" s="156"/>
      <c r="NR30" s="156"/>
      <c r="NS30" s="156"/>
      <c r="NT30" s="156"/>
      <c r="NU30" s="156"/>
      <c r="NV30" s="156"/>
      <c r="NW30" s="156"/>
      <c r="NX30" s="156"/>
      <c r="NY30" s="156"/>
      <c r="NZ30" s="156"/>
      <c r="OA30" s="156"/>
      <c r="OB30" s="156"/>
      <c r="OC30" s="156"/>
      <c r="OD30" s="156"/>
      <c r="OE30" s="156"/>
      <c r="OF30" s="156"/>
      <c r="OG30" s="156"/>
      <c r="OH30" s="156"/>
      <c r="OI30" s="156"/>
      <c r="OJ30" s="156"/>
      <c r="OK30" s="156"/>
      <c r="OL30" s="156"/>
      <c r="OM30" s="156"/>
      <c r="ON30" s="156"/>
      <c r="OO30" s="156"/>
      <c r="OP30" s="156"/>
      <c r="OQ30" s="156"/>
      <c r="OR30" s="156"/>
      <c r="OS30" s="156"/>
      <c r="OT30" s="156"/>
      <c r="OU30" s="156"/>
      <c r="OV30" s="156"/>
      <c r="OW30" s="156"/>
      <c r="OX30" s="156"/>
      <c r="OY30" s="156"/>
      <c r="OZ30" s="156"/>
      <c r="PA30" s="156"/>
      <c r="PB30" s="156"/>
      <c r="PC30" s="156"/>
      <c r="PD30" s="156"/>
      <c r="PE30" s="156"/>
      <c r="PF30" s="156"/>
      <c r="PG30" s="156"/>
      <c r="PH30" s="156"/>
      <c r="PI30" s="156"/>
      <c r="PJ30" s="156"/>
      <c r="PK30" s="156"/>
      <c r="PL30" s="156"/>
      <c r="PM30" s="156"/>
      <c r="PN30" s="156"/>
      <c r="PO30" s="156"/>
      <c r="PP30" s="156"/>
      <c r="PQ30" s="156"/>
      <c r="PR30" s="156"/>
      <c r="PS30" s="156"/>
      <c r="PT30" s="156"/>
      <c r="PU30" s="156"/>
      <c r="PV30" s="156"/>
      <c r="PW30" s="156"/>
      <c r="PX30" s="156"/>
      <c r="PY30" s="156"/>
      <c r="PZ30" s="156"/>
      <c r="QA30" s="156"/>
      <c r="QB30" s="156"/>
      <c r="QC30" s="156"/>
      <c r="QD30" s="156"/>
      <c r="QE30" s="156"/>
      <c r="QF30" s="156"/>
      <c r="QG30" s="156"/>
      <c r="QH30" s="156"/>
      <c r="QI30" s="156"/>
      <c r="QJ30" s="156"/>
      <c r="QK30" s="156"/>
      <c r="QL30" s="156"/>
      <c r="QM30" s="156"/>
      <c r="QN30" s="156"/>
      <c r="QO30" s="156"/>
      <c r="QP30" s="156"/>
      <c r="QQ30" s="156"/>
      <c r="QR30" s="156"/>
      <c r="QS30" s="156"/>
      <c r="QT30" s="156"/>
      <c r="QU30" s="156"/>
      <c r="QV30" s="156"/>
      <c r="QW30" s="156"/>
      <c r="QX30" s="156"/>
      <c r="QY30" s="156"/>
      <c r="QZ30" s="156"/>
      <c r="RA30" s="156"/>
      <c r="RB30" s="156"/>
      <c r="RC30" s="156"/>
      <c r="RD30" s="156"/>
      <c r="RE30" s="156"/>
      <c r="RF30" s="156"/>
      <c r="RG30" s="156"/>
      <c r="RH30" s="156"/>
      <c r="RI30" s="156"/>
      <c r="RJ30" s="156"/>
      <c r="RK30" s="156"/>
      <c r="RL30" s="156"/>
      <c r="RM30" s="156"/>
      <c r="RN30" s="156"/>
      <c r="RO30" s="156"/>
      <c r="RP30" s="156"/>
      <c r="RQ30" s="156"/>
      <c r="RR30" s="156"/>
      <c r="RS30" s="156"/>
      <c r="RT30" s="156"/>
      <c r="RU30" s="156"/>
      <c r="RV30" s="156"/>
      <c r="RW30" s="156"/>
      <c r="RX30" s="156"/>
      <c r="RY30" s="156"/>
      <c r="RZ30" s="156"/>
      <c r="SA30" s="156"/>
      <c r="SB30" s="156"/>
      <c r="SC30" s="156"/>
      <c r="SD30" s="156"/>
      <c r="SE30" s="156"/>
      <c r="SF30" s="156"/>
      <c r="SG30" s="156"/>
      <c r="SH30" s="156"/>
      <c r="SI30" s="156"/>
      <c r="SJ30" s="156"/>
      <c r="SK30" s="156"/>
      <c r="SL30" s="156"/>
      <c r="SM30" s="156"/>
      <c r="SN30" s="156"/>
      <c r="SO30" s="156"/>
      <c r="SP30" s="156"/>
      <c r="SQ30" s="156"/>
      <c r="SR30" s="156"/>
      <c r="SS30" s="156"/>
      <c r="ST30" s="156"/>
      <c r="SU30" s="156"/>
      <c r="SV30" s="156"/>
      <c r="SW30" s="156"/>
      <c r="SX30" s="156"/>
      <c r="SY30" s="156"/>
      <c r="SZ30" s="156"/>
      <c r="TA30" s="156"/>
      <c r="TB30" s="156"/>
      <c r="TC30" s="156"/>
      <c r="TD30" s="156"/>
      <c r="TE30" s="156"/>
      <c r="TF30" s="156"/>
      <c r="TG30" s="156"/>
      <c r="TH30" s="156"/>
      <c r="TI30" s="156"/>
      <c r="TJ30" s="156"/>
      <c r="TK30" s="156"/>
      <c r="TL30" s="156"/>
      <c r="TM30" s="156"/>
      <c r="TN30" s="156"/>
      <c r="TO30" s="156"/>
      <c r="TP30" s="156"/>
      <c r="TQ30" s="156"/>
      <c r="TR30" s="156"/>
      <c r="TS30" s="156"/>
      <c r="TT30" s="156"/>
      <c r="TU30" s="156"/>
      <c r="TV30" s="156"/>
      <c r="TW30" s="156"/>
      <c r="TX30" s="156"/>
      <c r="TY30" s="156"/>
      <c r="TZ30" s="156"/>
      <c r="UA30" s="156"/>
      <c r="UB30" s="156"/>
      <c r="UC30" s="156"/>
      <c r="UD30" s="156"/>
      <c r="UE30" s="156"/>
      <c r="UF30" s="156"/>
      <c r="UG30" s="156"/>
      <c r="UH30" s="156"/>
      <c r="UI30" s="156"/>
      <c r="UJ30" s="156"/>
      <c r="UK30" s="156"/>
      <c r="UL30" s="156"/>
      <c r="UM30" s="156"/>
      <c r="UN30" s="156"/>
      <c r="UO30" s="156"/>
      <c r="UP30" s="156"/>
      <c r="UQ30" s="156"/>
      <c r="UR30" s="156"/>
      <c r="US30" s="156"/>
      <c r="UT30" s="156"/>
      <c r="UU30" s="156"/>
      <c r="UV30" s="156"/>
      <c r="UW30" s="156"/>
      <c r="UX30" s="156"/>
      <c r="UY30" s="156"/>
      <c r="UZ30" s="156"/>
      <c r="VA30" s="156"/>
      <c r="VB30" s="156"/>
      <c r="VC30" s="156"/>
      <c r="VD30" s="156"/>
      <c r="VE30" s="156"/>
      <c r="VF30" s="156"/>
      <c r="VG30" s="156"/>
      <c r="VH30" s="156"/>
      <c r="VI30" s="156"/>
      <c r="VJ30" s="156"/>
      <c r="VK30" s="156"/>
      <c r="VL30" s="156"/>
      <c r="VM30" s="156"/>
      <c r="VN30" s="156"/>
      <c r="VO30" s="156"/>
      <c r="VP30" s="156"/>
      <c r="VQ30" s="156"/>
      <c r="VR30" s="156"/>
      <c r="VS30" s="156"/>
      <c r="VT30" s="156"/>
      <c r="VU30" s="156"/>
      <c r="VV30" s="156"/>
      <c r="VW30" s="156"/>
      <c r="VX30" s="156"/>
      <c r="VY30" s="156"/>
      <c r="VZ30" s="156"/>
      <c r="WA30" s="156"/>
      <c r="WB30" s="156"/>
      <c r="WC30" s="156"/>
      <c r="WD30" s="156"/>
      <c r="WE30" s="156"/>
      <c r="WF30" s="156"/>
      <c r="WG30" s="156"/>
      <c r="WH30" s="156"/>
      <c r="WI30" s="156"/>
      <c r="WJ30" s="156"/>
      <c r="WK30" s="156"/>
      <c r="WL30" s="156"/>
      <c r="WM30" s="156"/>
      <c r="WN30" s="156"/>
      <c r="WO30" s="156"/>
      <c r="WP30" s="156"/>
      <c r="WQ30" s="156"/>
      <c r="WR30" s="156"/>
      <c r="WS30" s="156"/>
      <c r="WT30" s="156"/>
      <c r="WU30" s="156"/>
      <c r="WV30" s="156"/>
      <c r="WW30" s="156"/>
      <c r="WX30" s="156"/>
      <c r="WY30" s="156"/>
      <c r="WZ30" s="156"/>
      <c r="XA30" s="156"/>
      <c r="XB30" s="156"/>
      <c r="XC30" s="156"/>
      <c r="XD30" s="156"/>
      <c r="XE30" s="156"/>
      <c r="XF30" s="156"/>
      <c r="XG30" s="156"/>
      <c r="XH30" s="156"/>
      <c r="XI30" s="156"/>
      <c r="XJ30" s="156"/>
      <c r="XK30" s="156"/>
      <c r="XL30" s="156"/>
      <c r="XM30" s="156"/>
      <c r="XN30" s="156"/>
      <c r="XO30" s="156"/>
      <c r="XP30" s="156"/>
      <c r="XQ30" s="156"/>
      <c r="XR30" s="156"/>
      <c r="XS30" s="156"/>
      <c r="XT30" s="156"/>
      <c r="XU30" s="156"/>
      <c r="XV30" s="156"/>
      <c r="XW30" s="156"/>
      <c r="XX30" s="156"/>
      <c r="XY30" s="156"/>
      <c r="XZ30" s="156"/>
      <c r="YA30" s="156"/>
      <c r="YB30" s="156"/>
      <c r="YC30" s="156"/>
      <c r="YD30" s="156"/>
      <c r="YE30" s="156"/>
      <c r="YF30" s="156"/>
      <c r="YG30" s="156"/>
      <c r="YH30" s="156"/>
      <c r="YI30" s="156"/>
      <c r="YJ30" s="156"/>
      <c r="YK30" s="156"/>
      <c r="YL30" s="156"/>
      <c r="YM30" s="156"/>
      <c r="YN30" s="156"/>
      <c r="YO30" s="156"/>
      <c r="YP30" s="156"/>
      <c r="YQ30" s="156"/>
      <c r="YR30" s="156"/>
      <c r="YS30" s="156"/>
      <c r="YT30" s="156"/>
      <c r="YU30" s="156"/>
      <c r="YV30" s="156"/>
      <c r="YW30" s="156"/>
      <c r="YX30" s="156"/>
      <c r="YY30" s="156"/>
      <c r="YZ30" s="156"/>
      <c r="ZA30" s="156"/>
      <c r="ZB30" s="156"/>
      <c r="ZC30" s="156"/>
      <c r="ZD30" s="156"/>
      <c r="ZE30" s="156"/>
      <c r="ZF30" s="156"/>
      <c r="ZG30" s="156"/>
      <c r="ZH30" s="156"/>
      <c r="ZI30" s="156"/>
      <c r="ZJ30" s="156"/>
      <c r="ZK30" s="156"/>
      <c r="ZL30" s="156"/>
      <c r="ZM30" s="156"/>
      <c r="ZN30" s="156"/>
      <c r="ZO30" s="156"/>
      <c r="ZP30" s="156"/>
      <c r="ZQ30" s="156"/>
      <c r="ZR30" s="156"/>
      <c r="ZS30" s="156"/>
      <c r="ZT30" s="156"/>
      <c r="ZU30" s="156"/>
      <c r="ZV30" s="156"/>
      <c r="ZW30" s="156"/>
      <c r="ZX30" s="156"/>
      <c r="ZY30" s="156"/>
      <c r="ZZ30" s="156"/>
      <c r="AAA30" s="156"/>
      <c r="AAB30" s="156"/>
      <c r="AAC30" s="156"/>
      <c r="AAD30" s="156"/>
      <c r="AAE30" s="156"/>
      <c r="AAF30" s="156"/>
      <c r="AAG30" s="156"/>
      <c r="AAH30" s="156"/>
      <c r="AAI30" s="156"/>
      <c r="AAJ30" s="156"/>
      <c r="AAK30" s="156"/>
      <c r="AAL30" s="156"/>
      <c r="AAM30" s="156"/>
      <c r="AAN30" s="156"/>
      <c r="AAO30" s="156"/>
      <c r="AAP30" s="156"/>
      <c r="AAQ30" s="156"/>
      <c r="AAR30" s="156"/>
      <c r="AAS30" s="156"/>
      <c r="AAT30" s="156"/>
      <c r="AAU30" s="156"/>
      <c r="AAV30" s="156"/>
      <c r="AAW30" s="156"/>
      <c r="AAX30" s="156"/>
      <c r="AAY30" s="156"/>
      <c r="AAZ30" s="156"/>
      <c r="ABA30" s="156"/>
      <c r="ABB30" s="156"/>
      <c r="ABC30" s="156"/>
      <c r="ABD30" s="156"/>
      <c r="ABE30" s="156"/>
      <c r="ABF30" s="156"/>
      <c r="ABG30" s="156"/>
      <c r="ABH30" s="156"/>
      <c r="ABI30" s="156"/>
      <c r="ABJ30" s="156"/>
      <c r="ABK30" s="156"/>
      <c r="ABL30" s="156"/>
      <c r="ABM30" s="156"/>
      <c r="ABN30" s="156"/>
      <c r="ABO30" s="156"/>
      <c r="ABP30" s="156"/>
      <c r="ABQ30" s="156"/>
      <c r="ABR30" s="156"/>
      <c r="ABS30" s="156"/>
      <c r="ABT30" s="156"/>
      <c r="ABU30" s="156"/>
      <c r="ABV30" s="156"/>
      <c r="ABW30" s="156"/>
      <c r="ABX30" s="156"/>
      <c r="ABY30" s="156"/>
      <c r="ABZ30" s="156"/>
      <c r="ACA30" s="156"/>
      <c r="ACB30" s="156"/>
      <c r="ACC30" s="156"/>
      <c r="ACD30" s="156"/>
      <c r="ACE30" s="156"/>
      <c r="ACF30" s="156"/>
      <c r="ACG30" s="156"/>
      <c r="ACH30" s="156"/>
      <c r="ACI30" s="156"/>
      <c r="ACJ30" s="156"/>
      <c r="ACK30" s="156"/>
      <c r="ACL30" s="156"/>
      <c r="ACM30" s="156"/>
      <c r="ACN30" s="156"/>
      <c r="ACO30" s="156"/>
      <c r="ACP30" s="156"/>
      <c r="ACQ30" s="156"/>
      <c r="ACR30" s="156"/>
      <c r="ACS30" s="156"/>
      <c r="ACT30" s="156"/>
      <c r="ACU30" s="156"/>
      <c r="ACV30" s="156"/>
      <c r="ACW30" s="156"/>
      <c r="ACX30" s="156"/>
      <c r="ACY30" s="156"/>
      <c r="ACZ30" s="156"/>
      <c r="ADA30" s="156"/>
      <c r="ADB30" s="156"/>
      <c r="ADC30" s="156"/>
      <c r="ADD30" s="156"/>
      <c r="ADE30" s="156"/>
      <c r="ADF30" s="156"/>
      <c r="ADG30" s="156"/>
      <c r="ADH30" s="156"/>
      <c r="ADI30" s="156"/>
      <c r="ADJ30" s="156"/>
      <c r="ADK30" s="156"/>
      <c r="ADL30" s="156"/>
      <c r="ADM30" s="156"/>
      <c r="ADN30" s="156"/>
      <c r="ADO30" s="156"/>
      <c r="ADP30" s="156"/>
      <c r="ADQ30" s="156"/>
      <c r="ADR30" s="156"/>
      <c r="ADS30" s="156"/>
      <c r="ADT30" s="156"/>
      <c r="ADU30" s="156"/>
      <c r="ADV30" s="156"/>
      <c r="ADW30" s="156"/>
      <c r="ADX30" s="156"/>
      <c r="ADY30" s="156"/>
      <c r="ADZ30" s="156"/>
      <c r="AEA30" s="156"/>
      <c r="AEB30" s="156"/>
      <c r="AEC30" s="156"/>
      <c r="AED30" s="156"/>
      <c r="AEE30" s="156"/>
      <c r="AEF30" s="156"/>
      <c r="AEG30" s="156"/>
      <c r="AEH30" s="156"/>
      <c r="AEI30" s="156"/>
      <c r="AEJ30" s="156"/>
      <c r="AEK30" s="156"/>
      <c r="AEL30" s="156"/>
      <c r="AEM30" s="156"/>
      <c r="AEN30" s="156"/>
      <c r="AEO30" s="156"/>
      <c r="AEP30" s="156"/>
      <c r="AEQ30" s="156"/>
      <c r="AER30" s="156"/>
      <c r="AES30" s="156"/>
      <c r="AET30" s="156"/>
      <c r="AEU30" s="156"/>
      <c r="AEV30" s="156"/>
      <c r="AEW30" s="156"/>
      <c r="AEX30" s="156"/>
      <c r="AEY30" s="156"/>
      <c r="AEZ30" s="156"/>
      <c r="AFA30" s="156"/>
      <c r="AFB30" s="156"/>
      <c r="AFC30" s="156"/>
      <c r="AFD30" s="156"/>
      <c r="AFE30" s="156"/>
      <c r="AFF30" s="156"/>
      <c r="AFG30" s="156"/>
      <c r="AFH30" s="156"/>
      <c r="AFI30" s="156"/>
      <c r="AFJ30" s="156"/>
      <c r="AFK30" s="156"/>
      <c r="AFL30" s="156"/>
      <c r="AFM30" s="156"/>
      <c r="AFN30" s="156"/>
      <c r="AFO30" s="156"/>
      <c r="AFP30" s="156"/>
      <c r="AFQ30" s="156"/>
      <c r="AFR30" s="156"/>
      <c r="AFS30" s="156"/>
      <c r="AFT30" s="156"/>
      <c r="AFU30" s="156"/>
      <c r="AFV30" s="156"/>
      <c r="AFW30" s="156"/>
      <c r="AFX30" s="156"/>
      <c r="AFY30" s="156"/>
      <c r="AFZ30" s="156"/>
      <c r="AGA30" s="156"/>
      <c r="AGB30" s="156"/>
      <c r="AGC30" s="156"/>
      <c r="AGD30" s="156"/>
      <c r="AGE30" s="156"/>
      <c r="AGF30" s="156"/>
      <c r="AGG30" s="156"/>
      <c r="AGH30" s="156"/>
      <c r="AGI30" s="156"/>
      <c r="AGJ30" s="156"/>
      <c r="AGK30" s="156"/>
      <c r="AGL30" s="156"/>
      <c r="AGM30" s="156"/>
      <c r="AGN30" s="156"/>
      <c r="AGO30" s="156"/>
      <c r="AGP30" s="156"/>
      <c r="AGQ30" s="156"/>
      <c r="AGR30" s="156"/>
      <c r="AGS30" s="156"/>
      <c r="AGT30" s="156"/>
      <c r="AGU30" s="156"/>
      <c r="AGV30" s="156"/>
      <c r="AGW30" s="156"/>
      <c r="AGX30" s="156"/>
      <c r="AGY30" s="156"/>
      <c r="AGZ30" s="156"/>
      <c r="AHA30" s="156"/>
      <c r="AHB30" s="156"/>
      <c r="AHC30" s="156"/>
      <c r="AHD30" s="156"/>
      <c r="AHE30" s="156"/>
      <c r="AHF30" s="156"/>
      <c r="AHG30" s="156"/>
      <c r="AHH30" s="156"/>
      <c r="AHI30" s="156"/>
      <c r="AHJ30" s="156"/>
      <c r="AHK30" s="156"/>
      <c r="AHL30" s="156"/>
      <c r="AHM30" s="156"/>
      <c r="AHN30" s="156"/>
      <c r="AHO30" s="156"/>
      <c r="AHP30" s="156"/>
      <c r="AHQ30" s="156"/>
      <c r="AHR30" s="156"/>
      <c r="AHS30" s="156"/>
      <c r="AHT30" s="156"/>
      <c r="AHU30" s="156"/>
      <c r="AHV30" s="156"/>
      <c r="AHW30" s="156"/>
      <c r="AHX30" s="156"/>
      <c r="AHY30" s="156"/>
      <c r="AHZ30" s="156"/>
      <c r="AIA30" s="156"/>
      <c r="AIB30" s="156"/>
      <c r="AIC30" s="156"/>
      <c r="AID30" s="156"/>
      <c r="AIE30" s="156"/>
      <c r="AIF30" s="156"/>
      <c r="AIG30" s="156"/>
      <c r="AIH30" s="156"/>
      <c r="AII30" s="156"/>
      <c r="AIJ30" s="156"/>
      <c r="AIK30" s="156"/>
      <c r="AIL30" s="156"/>
      <c r="AIM30" s="156"/>
      <c r="AIN30" s="156"/>
      <c r="AIO30" s="156"/>
      <c r="AIP30" s="156"/>
      <c r="AIQ30" s="156"/>
      <c r="AIR30" s="156"/>
      <c r="AIS30" s="156"/>
      <c r="AIT30" s="156"/>
      <c r="AIU30" s="156"/>
      <c r="AIV30" s="156"/>
      <c r="AIW30" s="156"/>
      <c r="AIX30" s="156"/>
      <c r="AIY30" s="156"/>
      <c r="AIZ30" s="156"/>
      <c r="AJA30" s="156"/>
      <c r="AJB30" s="156"/>
      <c r="AJC30" s="156"/>
      <c r="AJD30" s="156"/>
      <c r="AJE30" s="156"/>
      <c r="AJF30" s="156"/>
      <c r="AJG30" s="156"/>
      <c r="AJH30" s="156"/>
      <c r="AJI30" s="156"/>
      <c r="AJJ30" s="156"/>
      <c r="AJK30" s="156"/>
      <c r="AJL30" s="156"/>
      <c r="AJM30" s="156"/>
      <c r="AJN30" s="156"/>
      <c r="AJO30" s="156"/>
      <c r="AJP30" s="156"/>
      <c r="AJQ30" s="156"/>
      <c r="AJR30" s="156"/>
      <c r="AJS30" s="156"/>
      <c r="AJT30" s="156"/>
      <c r="AJU30" s="156"/>
      <c r="AJV30" s="156"/>
      <c r="AJW30" s="156"/>
      <c r="AJX30" s="156"/>
      <c r="AJY30" s="156"/>
      <c r="AJZ30" s="156"/>
      <c r="AKA30" s="156"/>
      <c r="AKB30" s="156"/>
      <c r="AKC30" s="156"/>
      <c r="AKD30" s="156"/>
      <c r="AKE30" s="156"/>
      <c r="AKF30" s="156"/>
      <c r="AKG30" s="156"/>
      <c r="AKH30" s="156"/>
      <c r="AKI30" s="156"/>
      <c r="AKJ30" s="156"/>
      <c r="AKK30" s="156"/>
      <c r="AKL30" s="156"/>
      <c r="AKM30" s="156"/>
      <c r="AKN30" s="156"/>
      <c r="AKO30" s="156"/>
      <c r="AKP30" s="156"/>
      <c r="AKQ30" s="156"/>
      <c r="AKR30" s="156"/>
      <c r="AKS30" s="156"/>
      <c r="AKT30" s="156"/>
      <c r="AKU30" s="156"/>
      <c r="AKV30" s="156"/>
      <c r="AKW30" s="156"/>
      <c r="AKX30" s="156"/>
      <c r="AKY30" s="156"/>
      <c r="AKZ30" s="156"/>
      <c r="ALA30" s="156"/>
      <c r="ALB30" s="156"/>
      <c r="ALC30" s="156"/>
      <c r="ALD30" s="156"/>
      <c r="ALE30" s="156"/>
      <c r="ALF30" s="156"/>
      <c r="ALG30" s="156"/>
      <c r="ALH30" s="156"/>
      <c r="ALI30" s="156"/>
      <c r="ALJ30" s="156"/>
      <c r="ALK30" s="156"/>
      <c r="ALL30" s="156"/>
      <c r="ALM30" s="156"/>
      <c r="ALN30" s="156"/>
      <c r="ALO30" s="156"/>
      <c r="ALP30" s="156"/>
      <c r="ALQ30" s="156"/>
      <c r="ALR30" s="156"/>
      <c r="ALS30" s="156"/>
      <c r="ALT30" s="156"/>
      <c r="ALU30" s="156"/>
      <c r="ALV30" s="156"/>
      <c r="ALW30" s="156"/>
      <c r="ALX30" s="156"/>
      <c r="ALY30" s="156"/>
      <c r="ALZ30" s="156"/>
      <c r="AMA30" s="156"/>
      <c r="AMB30" s="156"/>
      <c r="AMC30" s="156"/>
      <c r="AMD30" s="156"/>
      <c r="AME30" s="156"/>
      <c r="AMF30" s="156"/>
      <c r="AMG30" s="156"/>
      <c r="AMH30" s="156"/>
      <c r="AMI30" s="156"/>
    </row>
    <row r="31" spans="1:1023" ht="25.5">
      <c r="A31" s="182"/>
      <c r="B31" s="151">
        <f>Balance!A373</f>
        <v>44531</v>
      </c>
      <c r="C31" s="151" t="str">
        <f>Balance!B373</f>
        <v>T.V.A. récupérable intracommunautaire a taux réduit</v>
      </c>
      <c r="D31" s="170"/>
      <c r="E31" s="170"/>
      <c r="F31" s="170"/>
      <c r="G31" s="183">
        <f>Balance!E373</f>
        <v>0</v>
      </c>
    </row>
    <row r="32" spans="1:1023" ht="25.5">
      <c r="A32" s="182"/>
      <c r="B32" s="151">
        <f>Balance!A374</f>
        <v>44532</v>
      </c>
      <c r="C32" s="151" t="str">
        <f>Balance!B374</f>
        <v>T.V.A. récupérable intracommunautaire a taux normal</v>
      </c>
      <c r="D32" s="170"/>
      <c r="E32" s="170"/>
      <c r="F32" s="170"/>
      <c r="G32" s="183">
        <f>Balance!E374</f>
        <v>300</v>
      </c>
    </row>
    <row r="33" spans="1:7" ht="25.5">
      <c r="A33" s="182"/>
      <c r="B33" s="151">
        <f>Balance!A375</f>
        <v>44533</v>
      </c>
      <c r="C33" s="151" t="str">
        <f>Balance!B375</f>
        <v>T.V.A. récupérable intracommunautaire a taux fort</v>
      </c>
      <c r="D33" s="170"/>
      <c r="E33" s="170"/>
      <c r="F33" s="170"/>
      <c r="G33" s="183">
        <f>Balance!E375</f>
        <v>0</v>
      </c>
    </row>
    <row r="34" spans="1:7">
      <c r="A34" s="184"/>
      <c r="B34" s="185" t="s">
        <v>775</v>
      </c>
      <c r="C34" s="185"/>
      <c r="D34" s="186"/>
      <c r="E34" s="186"/>
      <c r="F34" s="186"/>
      <c r="G34" s="187">
        <f>SUM(G31:G33)</f>
        <v>300</v>
      </c>
    </row>
    <row r="35" spans="1:7" ht="25.5">
      <c r="A35" s="182"/>
      <c r="B35" s="151">
        <f>Balance!A377</f>
        <v>44521</v>
      </c>
      <c r="C35" s="151" t="str">
        <f>Balance!B377</f>
        <v>T.V.A. récupérable sur achats a taux réduit</v>
      </c>
      <c r="D35" s="170"/>
      <c r="E35" s="170" t="s">
        <v>796</v>
      </c>
      <c r="F35" s="170"/>
      <c r="G35" s="183">
        <f>Balance!E377</f>
        <v>200</v>
      </c>
    </row>
    <row r="36" spans="1:7" ht="25.5">
      <c r="A36" s="182"/>
      <c r="B36" s="151">
        <f>Balance!A378</f>
        <v>44522</v>
      </c>
      <c r="C36" s="151" t="str">
        <f>Balance!B378</f>
        <v>T.V.A. récupérable sur achats a taux normal</v>
      </c>
      <c r="D36" s="170"/>
      <c r="E36" s="170" t="s">
        <v>796</v>
      </c>
      <c r="F36" s="170"/>
      <c r="G36" s="183">
        <f>Balance!E378</f>
        <v>6830</v>
      </c>
    </row>
    <row r="37" spans="1:7">
      <c r="A37" s="182"/>
      <c r="B37" s="151">
        <f>Balance!A379</f>
        <v>44523</v>
      </c>
      <c r="C37" s="151" t="str">
        <f>Balance!B379</f>
        <v>T.V.A. récupérable sur achats a taux fort</v>
      </c>
      <c r="D37" s="170"/>
      <c r="E37" s="170" t="s">
        <v>796</v>
      </c>
      <c r="F37" s="170"/>
      <c r="G37" s="183">
        <f>Balance!E379</f>
        <v>0</v>
      </c>
    </row>
    <row r="38" spans="1:7">
      <c r="A38" s="184"/>
      <c r="B38" s="185" t="s">
        <v>43</v>
      </c>
      <c r="C38" s="185"/>
      <c r="D38" s="186"/>
      <c r="E38" s="186"/>
      <c r="F38" s="186"/>
      <c r="G38" s="187">
        <f>SUM(G35:G37)</f>
        <v>7030</v>
      </c>
    </row>
    <row r="39" spans="1:7">
      <c r="A39" s="188"/>
      <c r="B39" s="189" t="s">
        <v>777</v>
      </c>
      <c r="C39" s="189"/>
      <c r="D39" s="189"/>
      <c r="E39" s="189"/>
      <c r="F39" s="189"/>
      <c r="G39" s="190">
        <f>SUM(G25,G29,G34,G38)</f>
        <v>55538.586497890297</v>
      </c>
    </row>
    <row r="40" spans="1:7">
      <c r="A40" s="188"/>
      <c r="B40" s="191">
        <f>IF(G40&lt;0,Balance!A385,Balance!A386)</f>
        <v>4441</v>
      </c>
      <c r="C40" s="191" t="str">
        <f>IF(G40&lt;0,Balance!B385,Balance!B386)</f>
        <v>État, T.V.A. due</v>
      </c>
      <c r="D40" s="192"/>
      <c r="E40" s="192"/>
      <c r="F40" s="192"/>
      <c r="G40" s="193">
        <f>F20-G39</f>
        <v>49319.413502109703</v>
      </c>
    </row>
    <row r="41" spans="1:7">
      <c r="A41" s="261"/>
      <c r="B41" s="175"/>
      <c r="C41" s="175" t="s">
        <v>797</v>
      </c>
      <c r="D41" s="175"/>
      <c r="E41" s="175"/>
      <c r="F41" s="175"/>
      <c r="G41" s="262">
        <f>G34</f>
        <v>300</v>
      </c>
    </row>
    <row r="42" spans="1:7">
      <c r="A42" s="263"/>
      <c r="B42" s="171"/>
      <c r="C42" s="171"/>
      <c r="D42" s="171"/>
      <c r="E42" s="171"/>
      <c r="F42" s="171"/>
      <c r="G42" s="183"/>
    </row>
    <row r="43" spans="1:7">
      <c r="A43" s="182" t="s">
        <v>798</v>
      </c>
      <c r="B43" s="170"/>
      <c r="C43" s="170"/>
      <c r="D43" s="170"/>
      <c r="E43" s="170"/>
      <c r="F43" s="170"/>
      <c r="G43" s="172"/>
    </row>
    <row r="44" spans="1:7">
      <c r="A44" s="168">
        <f>B40</f>
        <v>4441</v>
      </c>
      <c r="B44" s="168" t="str">
        <f>C40</f>
        <v>État, T.V.A. due</v>
      </c>
      <c r="C44" s="170"/>
      <c r="D44" s="170"/>
      <c r="E44" s="170"/>
      <c r="F44" s="170">
        <f>G40+G41</f>
        <v>49619.413502109703</v>
      </c>
      <c r="G44" s="172"/>
    </row>
    <row r="45" spans="1:7" ht="15.75" thickBot="1">
      <c r="A45" s="194"/>
      <c r="B45" s="265">
        <v>520</v>
      </c>
      <c r="C45" s="266" t="s">
        <v>170</v>
      </c>
      <c r="D45" s="195"/>
      <c r="E45" s="195"/>
      <c r="F45" s="195"/>
      <c r="G45" s="196">
        <f>F44</f>
        <v>49619.413502109703</v>
      </c>
    </row>
  </sheetData>
  <sheetProtection password="F1F8" sheet="1" objects="1" scenarios="1"/>
  <mergeCells count="1">
    <mergeCell ref="B1:E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sheetPr codeName="Feuil14"/>
  <dimension ref="A1:F167"/>
  <sheetViews>
    <sheetView workbookViewId="0">
      <selection activeCell="E19" sqref="E19"/>
    </sheetView>
  </sheetViews>
  <sheetFormatPr baseColWidth="10" defaultRowHeight="12.75"/>
  <cols>
    <col min="1" max="1" width="37" style="992" customWidth="1"/>
    <col min="2" max="2" width="16.28515625" style="1035" customWidth="1"/>
    <col min="3" max="3" width="14.5703125" style="1035" customWidth="1"/>
    <col min="4" max="4" width="16.85546875" style="1035" customWidth="1"/>
    <col min="5" max="5" width="26.28515625" style="992" customWidth="1"/>
    <col min="6" max="6" width="24.85546875" style="992" customWidth="1"/>
    <col min="7" max="16384" width="11.42578125" style="992"/>
  </cols>
  <sheetData>
    <row r="1" spans="1:4">
      <c r="A1" s="1663" t="s">
        <v>1411</v>
      </c>
      <c r="B1" s="1664"/>
      <c r="C1" s="1664"/>
      <c r="D1" s="1665"/>
    </row>
    <row r="2" spans="1:4" ht="13.5">
      <c r="A2" s="1578"/>
      <c r="B2" s="1579" t="s">
        <v>1378</v>
      </c>
      <c r="C2" s="1579" t="s">
        <v>1379</v>
      </c>
      <c r="D2" s="1580" t="s">
        <v>1380</v>
      </c>
    </row>
    <row r="3" spans="1:4" ht="13.5">
      <c r="A3" s="1575" t="s">
        <v>1381</v>
      </c>
      <c r="B3" s="1576">
        <f>B56</f>
        <v>292423</v>
      </c>
      <c r="C3" s="1576">
        <f t="shared" ref="C3:D3" si="0">C56</f>
        <v>4000</v>
      </c>
      <c r="D3" s="1577">
        <f t="shared" si="0"/>
        <v>288423</v>
      </c>
    </row>
    <row r="4" spans="1:4" ht="13.5">
      <c r="A4" s="1575" t="s">
        <v>1382</v>
      </c>
      <c r="B4" s="1576">
        <f>B111</f>
        <v>288423</v>
      </c>
      <c r="C4" s="1576">
        <f t="shared" ref="C4:D4" si="1">C111</f>
        <v>0</v>
      </c>
      <c r="D4" s="1577">
        <f t="shared" si="1"/>
        <v>288423</v>
      </c>
    </row>
    <row r="5" spans="1:4" ht="13.5">
      <c r="A5" s="1581" t="s">
        <v>1383</v>
      </c>
      <c r="B5" s="1573">
        <f>Bilancloture!H28</f>
        <v>91643.586497890297</v>
      </c>
      <c r="C5" s="1573"/>
      <c r="D5" s="1577">
        <f>B5-C5</f>
        <v>91643.586497890297</v>
      </c>
    </row>
    <row r="6" spans="1:4" ht="13.5">
      <c r="A6" s="996" t="s">
        <v>1384</v>
      </c>
      <c r="B6" s="1017">
        <f>Bilancloture!E101</f>
        <v>288423</v>
      </c>
      <c r="C6" s="1017">
        <f>Bilancloture!H101</f>
        <v>288423</v>
      </c>
      <c r="D6" s="1018">
        <f>B6-C6</f>
        <v>0</v>
      </c>
    </row>
    <row r="7" spans="1:4" ht="13.5">
      <c r="A7" s="998" t="s">
        <v>1426</v>
      </c>
      <c r="B7" s="1017"/>
      <c r="C7" s="1017"/>
      <c r="D7" s="1018"/>
    </row>
    <row r="8" spans="1:4" ht="13.5">
      <c r="A8" s="998" t="s">
        <v>490</v>
      </c>
      <c r="B8" s="1015">
        <f>SUM(B9:B13)</f>
        <v>60000</v>
      </c>
      <c r="C8" s="1015">
        <f>SUM(C9:C13)</f>
        <v>3000</v>
      </c>
      <c r="D8" s="1016">
        <f>SUM(D9:D13)</f>
        <v>57000</v>
      </c>
    </row>
    <row r="9" spans="1:4" ht="13.5">
      <c r="A9" s="999" t="s">
        <v>1407</v>
      </c>
      <c r="B9" s="1017">
        <f>Bilancloture!C8+Bilancloture!C10+Bilancloture!C20</f>
        <v>40000</v>
      </c>
      <c r="C9" s="1017">
        <f>Bilancloture!D9+Bilancloture!D11+Bilancloture!D21</f>
        <v>2000</v>
      </c>
      <c r="D9" s="1018">
        <f>B9-C9</f>
        <v>38000</v>
      </c>
    </row>
    <row r="10" spans="1:4" ht="13.5">
      <c r="A10" s="999" t="str">
        <f>Bilancloture!B12</f>
        <v>Logiciels &amp; marques</v>
      </c>
      <c r="B10" s="1017">
        <f>Bilancloture!C12</f>
        <v>20000</v>
      </c>
      <c r="C10" s="1017">
        <f>Bilancloture!D13</f>
        <v>1000</v>
      </c>
      <c r="D10" s="1018">
        <f t="shared" ref="D10:D13" si="2">B10-C10</f>
        <v>19000</v>
      </c>
    </row>
    <row r="11" spans="1:4" ht="13.5">
      <c r="A11" s="999" t="str">
        <f>Bilancloture!B14</f>
        <v>Fonds commercial</v>
      </c>
      <c r="B11" s="1017">
        <f>Bilancloture!C14</f>
        <v>0</v>
      </c>
      <c r="C11" s="1017">
        <f>Bilancloture!D15</f>
        <v>0</v>
      </c>
      <c r="D11" s="1018">
        <f t="shared" si="2"/>
        <v>0</v>
      </c>
    </row>
    <row r="12" spans="1:4" ht="13.5">
      <c r="A12" s="999" t="str">
        <f>Bilancloture!B16</f>
        <v>Droit au bail</v>
      </c>
      <c r="B12" s="1019">
        <f>Bilancloture!C16</f>
        <v>0</v>
      </c>
      <c r="C12" s="1017">
        <f>Bilancloture!D17</f>
        <v>0</v>
      </c>
      <c r="D12" s="1018">
        <f t="shared" si="2"/>
        <v>0</v>
      </c>
    </row>
    <row r="13" spans="1:4" ht="13.5">
      <c r="A13" s="999" t="str">
        <f>Bilancloture!B18</f>
        <v>Investissements de création</v>
      </c>
      <c r="B13" s="1019">
        <f>Bilancloture!C18</f>
        <v>0</v>
      </c>
      <c r="C13" s="1017">
        <f>Bilancloture!D19</f>
        <v>0</v>
      </c>
      <c r="D13" s="1018">
        <f t="shared" si="2"/>
        <v>0</v>
      </c>
    </row>
    <row r="14" spans="1:4" ht="13.5">
      <c r="A14" s="998" t="s">
        <v>1413</v>
      </c>
      <c r="B14" s="1015">
        <f>SUM(B15:B23)</f>
        <v>519500</v>
      </c>
      <c r="C14" s="1015">
        <f t="shared" ref="C14:D14" si="3">SUM(C15:C23)</f>
        <v>1000</v>
      </c>
      <c r="D14" s="1016">
        <f t="shared" si="3"/>
        <v>518500</v>
      </c>
    </row>
    <row r="15" spans="1:4" ht="13.5">
      <c r="A15" s="996" t="str">
        <f>Bilancloture!B23</f>
        <v>Terrains agricoles, forestiers, nu, bâtit</v>
      </c>
      <c r="B15" s="1017">
        <f>Bilancloture!C23</f>
        <v>-5000</v>
      </c>
      <c r="C15" s="1017"/>
      <c r="D15" s="1018">
        <f>B15-C15</f>
        <v>-5000</v>
      </c>
    </row>
    <row r="16" spans="1:4" ht="13.5">
      <c r="A16" s="999" t="s">
        <v>1385</v>
      </c>
      <c r="B16" s="1017">
        <f>Bilancloture!C24+Bilancloture!C26</f>
        <v>100000</v>
      </c>
      <c r="C16" s="1017">
        <f>Bilancloture!D25+Bilancloture!D27</f>
        <v>2000</v>
      </c>
      <c r="D16" s="1018">
        <f t="shared" ref="D16:D27" si="4">B16-C16</f>
        <v>98000</v>
      </c>
    </row>
    <row r="17" spans="1:4" ht="13.5">
      <c r="A17" s="999" t="s">
        <v>1386</v>
      </c>
      <c r="B17" s="1017">
        <f>Bilancloture!C30+Bilancloture!C34+Bilancloture!C36</f>
        <v>280500</v>
      </c>
      <c r="C17" s="1017">
        <f>Bilancloture!D31+Bilancloture!D35+Bilancloture!D37</f>
        <v>-7000</v>
      </c>
      <c r="D17" s="1018">
        <f t="shared" si="4"/>
        <v>287500</v>
      </c>
    </row>
    <row r="18" spans="1:4" ht="13.5">
      <c r="A18" s="999" t="s">
        <v>1387</v>
      </c>
      <c r="B18" s="1017">
        <f>Bilancloture!C28+Bilancloture!C46</f>
        <v>40000</v>
      </c>
      <c r="C18" s="1017">
        <f>Bilancloture!D29+Bilancloture!D45</f>
        <v>2000</v>
      </c>
      <c r="D18" s="1018">
        <f t="shared" si="4"/>
        <v>38000</v>
      </c>
    </row>
    <row r="19" spans="1:4" ht="13.5">
      <c r="A19" s="999" t="s">
        <v>1665</v>
      </c>
      <c r="B19" s="1017">
        <f>Bilancloture!C44</f>
        <v>20000</v>
      </c>
      <c r="C19" s="1017">
        <f>Bilancloture!D45</f>
        <v>1000</v>
      </c>
      <c r="D19" s="1018">
        <f t="shared" si="4"/>
        <v>19000</v>
      </c>
    </row>
    <row r="20" spans="1:4" ht="13.5">
      <c r="A20" s="999" t="s">
        <v>160</v>
      </c>
      <c r="B20" s="1017">
        <f>Bilancloture!C42</f>
        <v>20000</v>
      </c>
      <c r="C20" s="1017">
        <f>Bilancloture!D43</f>
        <v>1000</v>
      </c>
      <c r="D20" s="1018">
        <f t="shared" si="4"/>
        <v>19000</v>
      </c>
    </row>
    <row r="21" spans="1:4" ht="13.5">
      <c r="A21" s="999" t="s">
        <v>1388</v>
      </c>
      <c r="B21" s="1017">
        <f>Bilancloture!C32+Bilancloture!C38</f>
        <v>44000</v>
      </c>
      <c r="C21" s="1017">
        <f>Bilancloture!D33+Bilancloture!D39</f>
        <v>1000</v>
      </c>
      <c r="D21" s="1018">
        <f t="shared" si="4"/>
        <v>43000</v>
      </c>
    </row>
    <row r="22" spans="1:4" ht="13.5">
      <c r="A22" s="999" t="s">
        <v>27</v>
      </c>
      <c r="B22" s="1017">
        <f>Bilancloture!C40</f>
        <v>20000</v>
      </c>
      <c r="C22" s="1017">
        <f>Bilancloture!D41</f>
        <v>1000</v>
      </c>
      <c r="D22" s="1018">
        <f t="shared" si="4"/>
        <v>19000</v>
      </c>
    </row>
    <row r="23" spans="1:4" ht="13.5">
      <c r="A23" s="999" t="s">
        <v>1389</v>
      </c>
      <c r="B23" s="1017">
        <f>Bilancloture!C48</f>
        <v>0</v>
      </c>
      <c r="C23" s="1017"/>
      <c r="D23" s="1018">
        <f t="shared" si="4"/>
        <v>0</v>
      </c>
    </row>
    <row r="24" spans="1:4" ht="13.5">
      <c r="A24" s="998" t="s">
        <v>185</v>
      </c>
      <c r="B24" s="1015">
        <f>SUM(B25:B27)</f>
        <v>99600</v>
      </c>
      <c r="C24" s="1015">
        <f t="shared" ref="C24:D24" si="5">SUM(C25:C27)</f>
        <v>0</v>
      </c>
      <c r="D24" s="1016">
        <f t="shared" si="5"/>
        <v>99600</v>
      </c>
    </row>
    <row r="25" spans="1:4" ht="13.5">
      <c r="A25" s="999" t="s">
        <v>1403</v>
      </c>
      <c r="B25" s="1017">
        <f>Bilancloture!C50+Bilancloture!C51</f>
        <v>-800</v>
      </c>
      <c r="C25" s="1017">
        <f>Bilancloture!D48</f>
        <v>0</v>
      </c>
      <c r="D25" s="1018">
        <f t="shared" si="4"/>
        <v>-800</v>
      </c>
    </row>
    <row r="26" spans="1:4" ht="13.5">
      <c r="A26" s="999" t="s">
        <v>1404</v>
      </c>
      <c r="B26" s="1017">
        <f>Bilancloture!C52+Bilancloture!C53</f>
        <v>10000</v>
      </c>
      <c r="C26" s="1017">
        <f>SUM(Bilancloture!D50:D51)</f>
        <v>0</v>
      </c>
      <c r="D26" s="1018">
        <f t="shared" si="4"/>
        <v>10000</v>
      </c>
    </row>
    <row r="27" spans="1:4" ht="13.5">
      <c r="A27" s="999" t="s">
        <v>1405</v>
      </c>
      <c r="B27" s="1017">
        <f>SUM(Bilancloture!C54:C56)</f>
        <v>90400</v>
      </c>
      <c r="C27" s="1017">
        <f>SUM(Bilancloture!D52:D54)</f>
        <v>0</v>
      </c>
      <c r="D27" s="1018">
        <f t="shared" si="4"/>
        <v>90400</v>
      </c>
    </row>
    <row r="28" spans="1:4" ht="13.5">
      <c r="A28" s="1000" t="s">
        <v>1425</v>
      </c>
      <c r="B28" s="1020">
        <f>SUM(B8,B14,B24)</f>
        <v>679100</v>
      </c>
      <c r="C28" s="1020">
        <f t="shared" ref="C28:D28" si="6">SUM(C8,C14,C24)</f>
        <v>4000</v>
      </c>
      <c r="D28" s="1021">
        <f t="shared" si="6"/>
        <v>675100</v>
      </c>
    </row>
    <row r="29" spans="1:4" ht="13.5">
      <c r="A29" s="998" t="s">
        <v>1390</v>
      </c>
      <c r="B29" s="1017"/>
      <c r="C29" s="1017"/>
      <c r="D29" s="1018"/>
    </row>
    <row r="30" spans="1:4" ht="13.5">
      <c r="A30" s="998" t="s">
        <v>1391</v>
      </c>
      <c r="B30" s="1015">
        <f>SUM(B31:B34)</f>
        <v>-39000</v>
      </c>
      <c r="C30" s="1015">
        <f>SUM(C31:C34)</f>
        <v>0</v>
      </c>
      <c r="D30" s="1016">
        <f>SUM(D31:D34)</f>
        <v>-39000</v>
      </c>
    </row>
    <row r="31" spans="1:4" ht="13.5">
      <c r="A31" s="999" t="str">
        <f>Bilancloture!B60</f>
        <v xml:space="preserve">Marchandises </v>
      </c>
      <c r="B31" s="1567">
        <f>Bilancloture!C60</f>
        <v>-20000</v>
      </c>
      <c r="C31" s="1019">
        <f>Bilancloture!D58</f>
        <v>0</v>
      </c>
      <c r="D31" s="1018">
        <f t="shared" ref="D31" si="7">B31-C31</f>
        <v>-20000</v>
      </c>
    </row>
    <row r="32" spans="1:4" ht="13.5">
      <c r="A32" s="999" t="str">
        <f>Bilancloture!B61</f>
        <v>Matières premières, fournitures</v>
      </c>
      <c r="B32" s="1567">
        <f>Bilancloture!C61+Bilancloture!C63+Bilancloture!C65</f>
        <v>-20000</v>
      </c>
      <c r="C32" s="1019">
        <f>Bilancloture!D59</f>
        <v>0</v>
      </c>
      <c r="D32" s="1018">
        <f t="shared" ref="D32:D41" si="8">B32-C32</f>
        <v>-20000</v>
      </c>
    </row>
    <row r="33" spans="1:4" ht="13.5">
      <c r="A33" s="999" t="str">
        <f>Bilancloture!B62</f>
        <v>Autres approvisionnements, emballage récup</v>
      </c>
      <c r="B33" s="1567">
        <f>Bilancloture!C62</f>
        <v>0</v>
      </c>
      <c r="C33" s="1019">
        <f>Bilancloture!D60</f>
        <v>0</v>
      </c>
      <c r="D33" s="1018">
        <f t="shared" si="8"/>
        <v>0</v>
      </c>
    </row>
    <row r="34" spans="1:4" ht="13.5">
      <c r="A34" s="999" t="str">
        <f>Bilancloture!B64</f>
        <v>Stock de produits finis</v>
      </c>
      <c r="B34" s="1567">
        <f>Bilancloture!C64</f>
        <v>1000</v>
      </c>
      <c r="C34" s="1019">
        <f>Bilancloture!D61</f>
        <v>0</v>
      </c>
      <c r="D34" s="1018">
        <f t="shared" si="8"/>
        <v>1000</v>
      </c>
    </row>
    <row r="35" spans="1:4" ht="13.5">
      <c r="A35" s="998" t="s">
        <v>1414</v>
      </c>
      <c r="B35" s="1015">
        <f>SUM(B36:B41)</f>
        <v>1229118</v>
      </c>
      <c r="C35" s="1015">
        <f>SUM(C36:C41)</f>
        <v>0</v>
      </c>
      <c r="D35" s="1016">
        <f>SUM(D36:D41)</f>
        <v>1229118</v>
      </c>
    </row>
    <row r="36" spans="1:4" ht="13.5">
      <c r="A36" s="999" t="s">
        <v>1408</v>
      </c>
      <c r="B36" s="1017">
        <f>SUM(Bilancloture!C67:C71)</f>
        <v>1168918</v>
      </c>
      <c r="C36" s="1017">
        <f>SUM(Bilancloture!D67:D68)</f>
        <v>0</v>
      </c>
      <c r="D36" s="1018">
        <f t="shared" si="8"/>
        <v>1168918</v>
      </c>
    </row>
    <row r="37" spans="1:4" ht="13.5">
      <c r="A37" s="999" t="s">
        <v>1392</v>
      </c>
      <c r="B37" s="1017">
        <f>Bilancloture!C72</f>
        <v>0</v>
      </c>
      <c r="C37" s="1017">
        <f>Bilancloture!D72</f>
        <v>0</v>
      </c>
      <c r="D37" s="1018">
        <f t="shared" si="8"/>
        <v>0</v>
      </c>
    </row>
    <row r="38" spans="1:4" ht="13.5">
      <c r="A38" s="999" t="s">
        <v>166</v>
      </c>
      <c r="B38" s="1017">
        <f>Bilancloture!C73</f>
        <v>0</v>
      </c>
      <c r="C38" s="1017">
        <f>Bilancloture!D73</f>
        <v>0</v>
      </c>
      <c r="D38" s="1018">
        <f t="shared" si="8"/>
        <v>0</v>
      </c>
    </row>
    <row r="39" spans="1:4" ht="13.5">
      <c r="A39" s="999" t="s">
        <v>1406</v>
      </c>
      <c r="B39" s="1017">
        <f>Bilancloture!C74+Bilancloture!C75</f>
        <v>200</v>
      </c>
      <c r="C39" s="1017">
        <f>Bilancloture!D74</f>
        <v>0</v>
      </c>
      <c r="D39" s="1018">
        <f t="shared" si="8"/>
        <v>200</v>
      </c>
    </row>
    <row r="40" spans="1:4" ht="13.5">
      <c r="A40" s="999" t="s">
        <v>1393</v>
      </c>
      <c r="B40" s="1017">
        <f>SUM(Bilancloture!C78:C83)</f>
        <v>0</v>
      </c>
      <c r="C40" s="1017">
        <f>SUM(Bilancloture!D78:D83)</f>
        <v>0</v>
      </c>
      <c r="D40" s="1018">
        <f t="shared" si="8"/>
        <v>0</v>
      </c>
    </row>
    <row r="41" spans="1:4" ht="13.5">
      <c r="A41" s="999" t="s">
        <v>1394</v>
      </c>
      <c r="B41" s="1017">
        <f>SUM(Bilancloture!C76,Bilancloture!C77,Bilancloture!C84)</f>
        <v>60000</v>
      </c>
      <c r="C41" s="1017">
        <f>SUM(Bilancloture!D70,Bilancloture!D76,Bilancloture!D77)</f>
        <v>0</v>
      </c>
      <c r="D41" s="1018">
        <f t="shared" si="8"/>
        <v>60000</v>
      </c>
    </row>
    <row r="42" spans="1:4" ht="13.5">
      <c r="A42" s="1001" t="s">
        <v>1423</v>
      </c>
      <c r="B42" s="1022">
        <f>SUM(B30,B35)</f>
        <v>1190118</v>
      </c>
      <c r="C42" s="1020">
        <f t="shared" ref="C42:D42" si="9">SUM(C30,C35)</f>
        <v>0</v>
      </c>
      <c r="D42" s="1021">
        <f t="shared" si="9"/>
        <v>1190118</v>
      </c>
    </row>
    <row r="43" spans="1:4" ht="13.5">
      <c r="A43" s="997" t="s">
        <v>1424</v>
      </c>
      <c r="B43" s="1017"/>
      <c r="C43" s="1017"/>
      <c r="D43" s="1018"/>
    </row>
    <row r="44" spans="1:4" ht="13.5">
      <c r="A44" s="998" t="s">
        <v>189</v>
      </c>
      <c r="B44" s="1015">
        <f>SUM(B45:B49)</f>
        <v>7000</v>
      </c>
      <c r="C44" s="1015">
        <f t="shared" ref="C44:D44" si="10">SUM(C45:C49)</f>
        <v>0</v>
      </c>
      <c r="D44" s="1016">
        <f t="shared" si="10"/>
        <v>7000</v>
      </c>
    </row>
    <row r="45" spans="1:4" ht="13.5">
      <c r="A45" s="999" t="str">
        <f>Bilancloture!B86</f>
        <v>VMP actions</v>
      </c>
      <c r="B45" s="1567">
        <f>Bilancloture!C86</f>
        <v>2000</v>
      </c>
      <c r="C45" s="1019">
        <f>Bilancloture!D85</f>
        <v>0</v>
      </c>
      <c r="D45" s="1018">
        <f>B45-C45</f>
        <v>2000</v>
      </c>
    </row>
    <row r="46" spans="1:4" ht="13.5">
      <c r="A46" s="999" t="str">
        <f>Bilancloture!B87</f>
        <v>Actions propres</v>
      </c>
      <c r="B46" s="1567">
        <f>Bilancloture!C87</f>
        <v>0</v>
      </c>
      <c r="C46" s="1019">
        <f>Bilancloture!D86</f>
        <v>0</v>
      </c>
      <c r="D46" s="1018">
        <f t="shared" ref="D46:D51" si="11">B46-C46</f>
        <v>0</v>
      </c>
    </row>
    <row r="47" spans="1:4" ht="13.5">
      <c r="A47" s="999" t="str">
        <f>Bilancloture!B88</f>
        <v xml:space="preserve">VMP Obligations </v>
      </c>
      <c r="B47" s="1567">
        <f>Bilancloture!C88</f>
        <v>5000</v>
      </c>
      <c r="C47" s="1019">
        <f>Bilancloture!D87</f>
        <v>0</v>
      </c>
      <c r="D47" s="1018">
        <f t="shared" si="11"/>
        <v>5000</v>
      </c>
    </row>
    <row r="48" spans="1:4" ht="13.5">
      <c r="A48" s="999" t="str">
        <f>Bilancloture!B89</f>
        <v>Bons du Trésor et bons de caisse à CT</v>
      </c>
      <c r="B48" s="1567">
        <f>Bilancloture!C89</f>
        <v>0</v>
      </c>
      <c r="C48" s="1019">
        <f>Bilancloture!D88</f>
        <v>0</v>
      </c>
      <c r="D48" s="1018">
        <f t="shared" si="11"/>
        <v>0</v>
      </c>
    </row>
    <row r="49" spans="1:4" ht="13.5">
      <c r="A49" s="999" t="str">
        <f>Bilancloture!B90</f>
        <v>Autres VMP et créances assimilées</v>
      </c>
      <c r="B49" s="1567">
        <f>Bilancloture!C90</f>
        <v>0</v>
      </c>
      <c r="C49" s="1019">
        <f>Bilancloture!D89</f>
        <v>0</v>
      </c>
      <c r="D49" s="1018">
        <f t="shared" si="11"/>
        <v>0</v>
      </c>
    </row>
    <row r="50" spans="1:4" ht="13.5">
      <c r="A50" s="998" t="s">
        <v>1415</v>
      </c>
      <c r="B50" s="1015">
        <f>SUM(B51:B53)</f>
        <v>-1600295</v>
      </c>
      <c r="C50" s="1015">
        <f t="shared" ref="C50:D50" si="12">SUM(C51:C53)</f>
        <v>0</v>
      </c>
      <c r="D50" s="1016">
        <f t="shared" si="12"/>
        <v>-1600295</v>
      </c>
    </row>
    <row r="51" spans="1:4" ht="13.5">
      <c r="A51" s="999" t="s">
        <v>1409</v>
      </c>
      <c r="B51" s="1017">
        <f>Bilancloture!C92</f>
        <v>-1600075</v>
      </c>
      <c r="C51" s="1017">
        <f>Bilancloture!D92</f>
        <v>0</v>
      </c>
      <c r="D51" s="1018">
        <f t="shared" si="11"/>
        <v>-1600075</v>
      </c>
    </row>
    <row r="52" spans="1:4" ht="13.5">
      <c r="A52" s="999" t="s">
        <v>1395</v>
      </c>
      <c r="B52" s="1017">
        <f>Bilancloture!C93</f>
        <v>0</v>
      </c>
      <c r="C52" s="1017">
        <f>Bilancloture!D93</f>
        <v>0</v>
      </c>
      <c r="D52" s="1018">
        <f t="shared" ref="D52:D53" si="13">B52-C52</f>
        <v>0</v>
      </c>
    </row>
    <row r="53" spans="1:4" ht="13.5">
      <c r="A53" s="999" t="s">
        <v>1410</v>
      </c>
      <c r="B53" s="1017">
        <f>SUM(Bilancloture!C94:C96)</f>
        <v>-220</v>
      </c>
      <c r="C53" s="1017">
        <f>SUM(Bilancloture!D95:D97)</f>
        <v>0</v>
      </c>
      <c r="D53" s="1018">
        <f t="shared" si="13"/>
        <v>-220</v>
      </c>
    </row>
    <row r="54" spans="1:4" ht="13.5">
      <c r="A54" s="998" t="s">
        <v>1416</v>
      </c>
      <c r="B54" s="1015">
        <f>SUM(Bilancloture!C97:C99)</f>
        <v>16500</v>
      </c>
      <c r="C54" s="1015">
        <f>Bilancloture!D98</f>
        <v>0</v>
      </c>
      <c r="D54" s="1016">
        <f>B54-C54</f>
        <v>16500</v>
      </c>
    </row>
    <row r="55" spans="1:4" ht="13.5">
      <c r="A55" s="1002" t="s">
        <v>190</v>
      </c>
      <c r="B55" s="1020">
        <f>SUM(B44,B50,B54)</f>
        <v>-1576795</v>
      </c>
      <c r="C55" s="1020">
        <f t="shared" ref="C55:D55" si="14">SUM(C44,C50,C54)</f>
        <v>0</v>
      </c>
      <c r="D55" s="1021">
        <f t="shared" si="14"/>
        <v>-1576795</v>
      </c>
    </row>
    <row r="56" spans="1:4" ht="14.25" thickBot="1">
      <c r="A56" s="1570" t="s">
        <v>1396</v>
      </c>
      <c r="B56" s="1571">
        <f>SUM(B28,B42,B55)</f>
        <v>292423</v>
      </c>
      <c r="C56" s="1571">
        <f t="shared" ref="C56" si="15">SUM(C28,C42,C55)</f>
        <v>4000</v>
      </c>
      <c r="D56" s="1572">
        <f>SUM(D28,D42,D55)</f>
        <v>288423</v>
      </c>
    </row>
    <row r="57" spans="1:4">
      <c r="A57" s="1663" t="s">
        <v>1412</v>
      </c>
      <c r="B57" s="1664"/>
      <c r="C57" s="1664"/>
      <c r="D57" s="1665"/>
    </row>
    <row r="58" spans="1:4">
      <c r="A58" s="999" t="s">
        <v>155</v>
      </c>
      <c r="B58" s="1568">
        <f>SUM(B59:B63)</f>
        <v>-1400</v>
      </c>
      <c r="C58" s="1568">
        <f t="shared" ref="C58:D58" si="16">SUM(C59:C63)</f>
        <v>0</v>
      </c>
      <c r="D58" s="1574">
        <f t="shared" si="16"/>
        <v>-1400</v>
      </c>
    </row>
    <row r="59" spans="1:4" ht="13.5">
      <c r="A59" s="999" t="str">
        <f>Bilancloture!G7</f>
        <v>Capital Social</v>
      </c>
      <c r="B59" s="1567">
        <f>SUM(Bilancloture!H7:H10)</f>
        <v>0</v>
      </c>
      <c r="C59" s="1019">
        <f>Bilancloture!I8</f>
        <v>0</v>
      </c>
      <c r="D59" s="1018">
        <f t="shared" ref="D59:D63" si="17">B59-C59</f>
        <v>0</v>
      </c>
    </row>
    <row r="60" spans="1:4" ht="13.5">
      <c r="A60" s="999" t="str">
        <f>Bilancloture!G11</f>
        <v>Capital par dotation</v>
      </c>
      <c r="B60" s="1567">
        <f>Bilancloture!H11</f>
        <v>0</v>
      </c>
      <c r="C60" s="1019">
        <f>Bilancloture!I9</f>
        <v>0</v>
      </c>
      <c r="D60" s="1018">
        <f t="shared" si="17"/>
        <v>0</v>
      </c>
    </row>
    <row r="61" spans="1:4" ht="13.5">
      <c r="A61" s="999" t="str">
        <f>Bilancloture!G12</f>
        <v>Capital personnel</v>
      </c>
      <c r="B61" s="1567">
        <f>Bilancloture!H12</f>
        <v>0</v>
      </c>
      <c r="C61" s="1019">
        <f>Bilancloture!I10</f>
        <v>0</v>
      </c>
      <c r="D61" s="1018">
        <f t="shared" si="17"/>
        <v>0</v>
      </c>
    </row>
    <row r="62" spans="1:4" ht="13.5">
      <c r="A62" s="999" t="str">
        <f>Bilancloture!G13</f>
        <v>Compte de l'exploitant ou privée</v>
      </c>
      <c r="B62" s="1567">
        <f>Bilancloture!H13</f>
        <v>-1400</v>
      </c>
      <c r="C62" s="1019">
        <f>Bilancloture!I11</f>
        <v>0</v>
      </c>
      <c r="D62" s="1018">
        <f t="shared" si="17"/>
        <v>-1400</v>
      </c>
    </row>
    <row r="63" spans="1:4" ht="13.5">
      <c r="A63" s="999" t="str">
        <f>Bilancloture!G15</f>
        <v>Primes d'émission</v>
      </c>
      <c r="B63" s="1019">
        <f>Bilancloture!H14</f>
        <v>0</v>
      </c>
      <c r="C63" s="1019">
        <f>Bilancloture!I15</f>
        <v>0</v>
      </c>
      <c r="D63" s="1018">
        <f t="shared" si="17"/>
        <v>0</v>
      </c>
    </row>
    <row r="64" spans="1:4" ht="13.5">
      <c r="A64" s="998" t="s">
        <v>492</v>
      </c>
      <c r="B64" s="1015">
        <f>SUM(B65:B69)</f>
        <v>0</v>
      </c>
      <c r="C64" s="1015">
        <f t="shared" ref="C64:D64" si="18">SUM(C65:C69)</f>
        <v>0</v>
      </c>
      <c r="D64" s="1016">
        <f t="shared" si="18"/>
        <v>0</v>
      </c>
    </row>
    <row r="65" spans="1:4" ht="13.5">
      <c r="A65" s="999" t="str">
        <f>Bilancloture!G21</f>
        <v>Réserves légales</v>
      </c>
      <c r="B65" s="1019">
        <f>Bilancloture!H21</f>
        <v>0</v>
      </c>
      <c r="C65" s="1019">
        <f>Bilancloture!I21</f>
        <v>0</v>
      </c>
      <c r="D65" s="1018">
        <f t="shared" ref="D65:D69" si="19">B65-C65</f>
        <v>0</v>
      </c>
    </row>
    <row r="66" spans="1:4" ht="13.5">
      <c r="A66" s="999" t="str">
        <f>Bilancloture!G22</f>
        <v>Réserves statutaires ou contractuelles</v>
      </c>
      <c r="B66" s="1567">
        <f>Bilancloture!H22</f>
        <v>0</v>
      </c>
      <c r="C66" s="1019">
        <f>Bilancloture!I22</f>
        <v>0</v>
      </c>
      <c r="D66" s="1018">
        <f t="shared" si="19"/>
        <v>0</v>
      </c>
    </row>
    <row r="67" spans="1:4" ht="13.5">
      <c r="A67" s="999" t="str">
        <f>Bilancloture!G23</f>
        <v>Réserves réglementées</v>
      </c>
      <c r="B67" s="1567">
        <f>Bilancloture!H23</f>
        <v>0</v>
      </c>
      <c r="C67" s="1019">
        <f>Bilancloture!I23</f>
        <v>0</v>
      </c>
      <c r="D67" s="1018">
        <f t="shared" si="19"/>
        <v>0</v>
      </c>
    </row>
    <row r="68" spans="1:4" ht="13.5">
      <c r="A68" s="999" t="str">
        <f>Bilancloture!G24</f>
        <v>Réserves facultatives et diverses</v>
      </c>
      <c r="B68" s="1567">
        <f>Bilancloture!H24</f>
        <v>0</v>
      </c>
      <c r="C68" s="1019">
        <f>Bilancloture!I24</f>
        <v>0</v>
      </c>
      <c r="D68" s="1018">
        <f t="shared" si="19"/>
        <v>0</v>
      </c>
    </row>
    <row r="69" spans="1:4" ht="13.5">
      <c r="A69" s="999" t="str">
        <f>Bilancloture!G25</f>
        <v>Report à nouveau créditeur (+)</v>
      </c>
      <c r="B69" s="1567">
        <f>Bilancloture!H25+Bilancloture!H26</f>
        <v>0</v>
      </c>
      <c r="C69" s="1019"/>
      <c r="D69" s="1018">
        <f t="shared" si="19"/>
        <v>0</v>
      </c>
    </row>
    <row r="70" spans="1:4" ht="13.5">
      <c r="A70" s="998" t="s">
        <v>1417</v>
      </c>
      <c r="B70" s="1015">
        <f>SUM(B71:B72)</f>
        <v>91643.586497890297</v>
      </c>
      <c r="C70" s="1015">
        <f t="shared" ref="C70:D70" si="20">SUM(C71:C72)</f>
        <v>0</v>
      </c>
      <c r="D70" s="1016">
        <f t="shared" si="20"/>
        <v>91643.586497890297</v>
      </c>
    </row>
    <row r="71" spans="1:4" ht="13.5">
      <c r="A71" s="999" t="str">
        <f>Bilancloture!G27</f>
        <v>Résultat</v>
      </c>
      <c r="B71" s="1567">
        <f>Bilancloture!H27</f>
        <v>91643.586497890297</v>
      </c>
      <c r="C71" s="1019">
        <f>Bilancloture!I25</f>
        <v>0</v>
      </c>
      <c r="D71" s="1018">
        <f t="shared" ref="D71:D72" si="21">B71-C71</f>
        <v>91643.586497890297</v>
      </c>
    </row>
    <row r="72" spans="1:4" ht="13.5">
      <c r="A72" s="999" t="str">
        <f>Bilancloture!G30</f>
        <v>Autres capitaux propres</v>
      </c>
      <c r="B72" s="1567">
        <f>Bilancloture!H30</f>
        <v>0</v>
      </c>
      <c r="C72" s="1019">
        <f>Bilancloture!I26</f>
        <v>0</v>
      </c>
      <c r="D72" s="1018">
        <f t="shared" si="21"/>
        <v>0</v>
      </c>
    </row>
    <row r="73" spans="1:4" ht="13.5">
      <c r="A73" s="998" t="s">
        <v>1418</v>
      </c>
      <c r="B73" s="1015">
        <f t="shared" ref="B73" si="22">SUM(B74:B81)</f>
        <v>0</v>
      </c>
      <c r="C73" s="1015">
        <f t="shared" ref="C73" si="23">SUM(C74:C81)</f>
        <v>0</v>
      </c>
      <c r="D73" s="1016">
        <f t="shared" ref="D73" si="24">SUM(D74:D81)</f>
        <v>0</v>
      </c>
    </row>
    <row r="74" spans="1:4" ht="13.5">
      <c r="A74" s="999" t="str">
        <f>Bilancloture!G48</f>
        <v>Provision pour litiges</v>
      </c>
      <c r="B74" s="1567">
        <f>Bilancloture!H48</f>
        <v>0</v>
      </c>
      <c r="C74" s="1019">
        <f>Bilancloture!I46</f>
        <v>0</v>
      </c>
      <c r="D74" s="1018">
        <f t="shared" ref="D74:D81" si="25">B74-C74</f>
        <v>0</v>
      </c>
    </row>
    <row r="75" spans="1:4" ht="13.5">
      <c r="A75" s="999" t="str">
        <f>Bilancloture!G49</f>
        <v>Provision pour pertes  créances clients</v>
      </c>
      <c r="B75" s="1567">
        <f>Bilancloture!H49</f>
        <v>0</v>
      </c>
      <c r="C75" s="1019">
        <f>Bilancloture!I47</f>
        <v>0</v>
      </c>
      <c r="D75" s="1018">
        <f t="shared" si="25"/>
        <v>0</v>
      </c>
    </row>
    <row r="76" spans="1:4" ht="13.5">
      <c r="A76" s="999" t="str">
        <f>Bilancloture!G50</f>
        <v>Provision pour pertes de change</v>
      </c>
      <c r="B76" s="1567">
        <f>Bilancloture!H50</f>
        <v>0</v>
      </c>
      <c r="C76" s="1019">
        <f>Bilancloture!I48</f>
        <v>0</v>
      </c>
      <c r="D76" s="1018">
        <f t="shared" si="25"/>
        <v>0</v>
      </c>
    </row>
    <row r="77" spans="1:4" ht="13.5">
      <c r="A77" s="999" t="str">
        <f>Bilancloture!G51</f>
        <v>Provision pour impôt</v>
      </c>
      <c r="B77" s="1567">
        <f>Bilancloture!H51</f>
        <v>0</v>
      </c>
      <c r="C77" s="1019">
        <f>Bilancloture!I49</f>
        <v>0</v>
      </c>
      <c r="D77" s="1018">
        <f t="shared" si="25"/>
        <v>0</v>
      </c>
    </row>
    <row r="78" spans="1:4" ht="13.5">
      <c r="A78" s="999" t="str">
        <f>Bilancloture!G52</f>
        <v>Provision pour charges à repartir sur plusieurs exercices</v>
      </c>
      <c r="B78" s="1567">
        <f>Bilancloture!H52</f>
        <v>0</v>
      </c>
      <c r="C78" s="1019">
        <f>Bilancloture!I50</f>
        <v>0</v>
      </c>
      <c r="D78" s="1018">
        <f t="shared" si="25"/>
        <v>0</v>
      </c>
    </row>
    <row r="79" spans="1:4" ht="13.5">
      <c r="A79" s="999" t="str">
        <f>Bilancloture!G53</f>
        <v>Provisions pour grosses réparations</v>
      </c>
      <c r="B79" s="1567">
        <f>Bilancloture!H53</f>
        <v>0</v>
      </c>
      <c r="C79" s="1019">
        <f>Bilancloture!I51</f>
        <v>0</v>
      </c>
      <c r="D79" s="1018">
        <f t="shared" si="25"/>
        <v>0</v>
      </c>
    </row>
    <row r="80" spans="1:4" ht="13.5">
      <c r="A80" s="999" t="str">
        <f>Bilancloture!G54</f>
        <v>Provisions pour amendes et pénalités</v>
      </c>
      <c r="B80" s="1567">
        <f>Bilancloture!H54</f>
        <v>0</v>
      </c>
      <c r="C80" s="1019">
        <f>Bilancloture!I52</f>
        <v>0</v>
      </c>
      <c r="D80" s="1018">
        <f t="shared" si="25"/>
        <v>0</v>
      </c>
    </row>
    <row r="81" spans="1:4" ht="13.5">
      <c r="A81" s="999" t="str">
        <f>Bilancloture!G55</f>
        <v>Provisions sur des immobilisations</v>
      </c>
      <c r="B81" s="1567">
        <f>Bilancloture!H55</f>
        <v>0</v>
      </c>
      <c r="C81" s="1019">
        <f>Bilancloture!I53</f>
        <v>0</v>
      </c>
      <c r="D81" s="1018">
        <f t="shared" si="25"/>
        <v>0</v>
      </c>
    </row>
    <row r="82" spans="1:4" ht="13.5">
      <c r="A82" s="1004" t="s">
        <v>1397</v>
      </c>
      <c r="B82" s="1025">
        <f>SUM(B58,B64,B70,B73)</f>
        <v>90243.586497890297</v>
      </c>
      <c r="C82" s="1025">
        <f t="shared" ref="C82" si="26">SUM(C58,C64,C70,C73)</f>
        <v>0</v>
      </c>
      <c r="D82" s="1026">
        <f>SUM(D58,D64,D70,D73)</f>
        <v>90243.586497890297</v>
      </c>
    </row>
    <row r="83" spans="1:4" ht="13.5">
      <c r="A83" s="998" t="s">
        <v>1419</v>
      </c>
      <c r="B83" s="1015">
        <f>SUM(B84:B87)</f>
        <v>40000</v>
      </c>
      <c r="C83" s="1015">
        <f t="shared" ref="C83:D83" si="27">SUM(C84:C87)</f>
        <v>0</v>
      </c>
      <c r="D83" s="1016">
        <f t="shared" si="27"/>
        <v>40000</v>
      </c>
    </row>
    <row r="84" spans="1:4" ht="13.5">
      <c r="A84" s="999" t="str">
        <f>Bilancloture!G40</f>
        <v>Emprunts obligataires</v>
      </c>
      <c r="B84" s="1017">
        <f>SUM(Bilancloture!H40,Bilancloture!H44)</f>
        <v>0</v>
      </c>
      <c r="C84" s="1017"/>
      <c r="D84" s="1018">
        <f t="shared" ref="D84:D87" si="28">B84-C84</f>
        <v>0</v>
      </c>
    </row>
    <row r="85" spans="1:4" ht="13.5">
      <c r="A85" s="999" t="str">
        <f>Bilancloture!G41</f>
        <v>Emprunts auprès des établissement de crédit</v>
      </c>
      <c r="B85" s="1017">
        <f>Bilancloture!H41</f>
        <v>40000</v>
      </c>
      <c r="C85" s="1017"/>
      <c r="D85" s="1018">
        <f t="shared" si="28"/>
        <v>40000</v>
      </c>
    </row>
    <row r="86" spans="1:4" ht="13.5">
      <c r="A86" s="999" t="str">
        <f>Bilancloture!G42</f>
        <v>Avances et divers acomptes reçues</v>
      </c>
      <c r="B86" s="1017">
        <f>Bilancloture!H42+Bilancloture!H43+Bilancloture!H46</f>
        <v>0</v>
      </c>
      <c r="C86" s="1017"/>
      <c r="D86" s="1018">
        <f t="shared" si="28"/>
        <v>0</v>
      </c>
    </row>
    <row r="87" spans="1:4" ht="13.5">
      <c r="A87" s="999" t="str">
        <f>Bilancloture!G45</f>
        <v>Dettes de crédit-bail et contrats assimilés</v>
      </c>
      <c r="B87" s="1567">
        <f>Bilancloture!H45</f>
        <v>0</v>
      </c>
      <c r="C87" s="1017">
        <f>SUM(Bilancloture!I61:I63)</f>
        <v>0</v>
      </c>
      <c r="D87" s="1018">
        <f t="shared" si="28"/>
        <v>0</v>
      </c>
    </row>
    <row r="88" spans="1:4" ht="13.5">
      <c r="A88" s="1004" t="s">
        <v>1398</v>
      </c>
      <c r="B88" s="1025">
        <f>SUM(B84:B87)</f>
        <v>40000</v>
      </c>
      <c r="C88" s="1025">
        <f t="shared" ref="C88:D88" si="29">SUM(C84:C87)</f>
        <v>0</v>
      </c>
      <c r="D88" s="1026">
        <f t="shared" si="29"/>
        <v>40000</v>
      </c>
    </row>
    <row r="89" spans="1:4" ht="13.5">
      <c r="A89" s="998" t="s">
        <v>1420</v>
      </c>
      <c r="B89" s="1015">
        <f>SUM(B90:B98)</f>
        <v>-33240</v>
      </c>
      <c r="C89" s="1015">
        <f t="shared" ref="C89:D89" si="30">SUM(C90:C98)</f>
        <v>0</v>
      </c>
      <c r="D89" s="1016">
        <f t="shared" si="30"/>
        <v>-33240</v>
      </c>
    </row>
    <row r="90" spans="1:4" ht="13.5">
      <c r="A90" s="999" t="str">
        <f>Bilancloture!G60</f>
        <v>Fournisseurs</v>
      </c>
      <c r="B90" s="1567">
        <f>Bilancloture!H60</f>
        <v>564460</v>
      </c>
      <c r="C90" s="1017"/>
      <c r="D90" s="1018">
        <f t="shared" ref="D90:D98" si="31">B90-C90</f>
        <v>564460</v>
      </c>
    </row>
    <row r="91" spans="1:4" ht="13.5">
      <c r="A91" s="999" t="str">
        <f>Bilancloture!G61</f>
        <v>Fournisseurs étrangers</v>
      </c>
      <c r="B91" s="1567">
        <f>Bilancloture!H61</f>
        <v>-597700</v>
      </c>
      <c r="C91" s="1017"/>
      <c r="D91" s="1018">
        <f t="shared" si="31"/>
        <v>-597700</v>
      </c>
    </row>
    <row r="92" spans="1:4" ht="13.5">
      <c r="A92" s="999" t="str">
        <f>Bilancloture!G62</f>
        <v>Fournisseurs, Effets à payer</v>
      </c>
      <c r="B92" s="1567">
        <f>Bilancloture!H62</f>
        <v>0</v>
      </c>
      <c r="C92" s="1017"/>
      <c r="D92" s="1018">
        <f t="shared" si="31"/>
        <v>0</v>
      </c>
    </row>
    <row r="93" spans="1:4" ht="13.5">
      <c r="A93" s="999" t="str">
        <f>Bilancloture!G63</f>
        <v>Fournisseurs – étranger Effets à payer</v>
      </c>
      <c r="B93" s="1567">
        <f>Bilancloture!H63</f>
        <v>0</v>
      </c>
      <c r="C93" s="1017"/>
      <c r="D93" s="1018">
        <f t="shared" si="31"/>
        <v>0</v>
      </c>
    </row>
    <row r="94" spans="1:4" ht="13.5">
      <c r="A94" s="999" t="str">
        <f>Bilancloture!G64</f>
        <v>Fournisseurs  facture non parvenues</v>
      </c>
      <c r="B94" s="1567">
        <f>Bilancloture!H64</f>
        <v>0</v>
      </c>
      <c r="C94" s="1017"/>
      <c r="D94" s="1018">
        <f t="shared" si="31"/>
        <v>0</v>
      </c>
    </row>
    <row r="95" spans="1:4" ht="13.5">
      <c r="A95" s="999" t="str">
        <f>Bilancloture!G65</f>
        <v>Fournisseurs, intérêts courus</v>
      </c>
      <c r="B95" s="1567">
        <f>Bilancloture!H65</f>
        <v>0</v>
      </c>
      <c r="C95" s="1017"/>
      <c r="D95" s="1018">
        <f t="shared" si="31"/>
        <v>0</v>
      </c>
    </row>
    <row r="96" spans="1:4" ht="13.5">
      <c r="A96" s="999" t="str">
        <f>Bilancloture!G66</f>
        <v>Fournisseurs avances et acomptes versés</v>
      </c>
      <c r="B96" s="1567">
        <f>Bilancloture!H66</f>
        <v>0</v>
      </c>
      <c r="C96" s="1017"/>
      <c r="D96" s="1018">
        <f t="shared" si="31"/>
        <v>0</v>
      </c>
    </row>
    <row r="97" spans="1:6" ht="13.5">
      <c r="A97" s="999" t="str">
        <f>Bilancloture!G67</f>
        <v>Fournisseurs créances pour emballages et matériels à rendre</v>
      </c>
      <c r="B97" s="1567">
        <f>Bilancloture!H67</f>
        <v>0</v>
      </c>
      <c r="C97" s="1017"/>
      <c r="D97" s="1018">
        <f t="shared" si="31"/>
        <v>0</v>
      </c>
    </row>
    <row r="98" spans="1:6" ht="13.5">
      <c r="A98" s="999" t="str">
        <f>Bilancloture!G68</f>
        <v>Rabais, Remises, Ristournes et autres avoirs à obtenir</v>
      </c>
      <c r="B98" s="1567">
        <f>Bilancloture!H68</f>
        <v>0</v>
      </c>
      <c r="C98" s="1017"/>
      <c r="D98" s="1018">
        <f t="shared" si="31"/>
        <v>0</v>
      </c>
    </row>
    <row r="99" spans="1:6" ht="13.5">
      <c r="A99" s="998" t="s">
        <v>1421</v>
      </c>
      <c r="B99" s="1015">
        <f>SUM(B100:B103)</f>
        <v>179319.4135021097</v>
      </c>
      <c r="C99" s="1015">
        <f t="shared" ref="C99" si="32">SUM(C100:C103)</f>
        <v>0</v>
      </c>
      <c r="D99" s="1016">
        <f>SUM(D100:D103)</f>
        <v>179319.4135021097</v>
      </c>
    </row>
    <row r="100" spans="1:6" ht="13.5">
      <c r="A100" s="999" t="str">
        <f>Bilancloture!G72</f>
        <v>Autres organismes sociaux</v>
      </c>
      <c r="B100" s="1019">
        <f>SUM(Bilancloture!H71:H74)</f>
        <v>130000</v>
      </c>
      <c r="C100" s="1019">
        <f>Bilancloture!I91</f>
        <v>0</v>
      </c>
      <c r="D100" s="1018">
        <f t="shared" ref="D100:D103" si="33">B100-C100</f>
        <v>130000</v>
      </c>
    </row>
    <row r="101" spans="1:6" ht="13.5">
      <c r="A101" s="999" t="str">
        <f>Bilancloture!G79</f>
        <v>Tva due</v>
      </c>
      <c r="B101" s="1567">
        <f>Bilancloture!H79</f>
        <v>49319.413502109703</v>
      </c>
      <c r="C101" s="1019">
        <f>Bilancloture!I92</f>
        <v>0</v>
      </c>
      <c r="D101" s="1018">
        <f t="shared" si="33"/>
        <v>49319.413502109703</v>
      </c>
    </row>
    <row r="102" spans="1:6" ht="13.5">
      <c r="A102" s="999" t="str">
        <f>Bilancloture!G76</f>
        <v>Autres dettes</v>
      </c>
      <c r="B102" s="1019">
        <f>SUM(Bilancloture!H75:H78)+SUM(Bilancloture!H80:H84)</f>
        <v>0</v>
      </c>
      <c r="C102" s="1019">
        <f>Bilancloture!I93</f>
        <v>0</v>
      </c>
      <c r="D102" s="1018">
        <f t="shared" si="33"/>
        <v>0</v>
      </c>
    </row>
    <row r="103" spans="1:6" ht="13.5">
      <c r="A103" s="999" t="str">
        <f>Bilancloture!G85</f>
        <v>Créditeurs divers</v>
      </c>
      <c r="B103" s="1019">
        <f>SUM(Bilancloture!H85:H90)</f>
        <v>0</v>
      </c>
      <c r="C103" s="1019"/>
      <c r="D103" s="1018">
        <f t="shared" si="33"/>
        <v>0</v>
      </c>
    </row>
    <row r="104" spans="1:6" ht="13.5">
      <c r="A104" s="998" t="s">
        <v>1666</v>
      </c>
      <c r="B104" s="1015">
        <f>SUM(B105:B108)</f>
        <v>12100</v>
      </c>
      <c r="C104" s="1015">
        <f t="shared" ref="C104:D104" si="34">SUM(C105:C108)</f>
        <v>0</v>
      </c>
      <c r="D104" s="1016">
        <f t="shared" si="34"/>
        <v>12100</v>
      </c>
    </row>
    <row r="105" spans="1:6" ht="13.5">
      <c r="A105" s="999" t="str">
        <f>Bilancloture!G92</f>
        <v>Banques et crédits d'escompte</v>
      </c>
      <c r="B105" s="1019">
        <f>SUM(Bilancloture!H92:H95)</f>
        <v>0</v>
      </c>
      <c r="C105" s="1019">
        <f>Bilancloture!I94</f>
        <v>0</v>
      </c>
      <c r="D105" s="1018">
        <f t="shared" ref="D105:D108" si="35">B105-C105</f>
        <v>0</v>
      </c>
    </row>
    <row r="106" spans="1:6" ht="13.5">
      <c r="A106" s="999" t="str">
        <f>Bilancloture!G96</f>
        <v>Banques, découverts solde céditeur</v>
      </c>
      <c r="B106" s="1567">
        <f>Bilancloture!H96</f>
        <v>0</v>
      </c>
      <c r="C106" s="1019">
        <f>Bilancloture!I95</f>
        <v>0</v>
      </c>
      <c r="D106" s="1018">
        <f t="shared" si="35"/>
        <v>0</v>
      </c>
    </row>
    <row r="107" spans="1:6" ht="13.5">
      <c r="A107" s="999" t="str">
        <f>Bilancloture!G98</f>
        <v>Passif de régulation , Charge à payer, Produits payés d'avance</v>
      </c>
      <c r="B107" s="1567">
        <f>Bilancloture!H98</f>
        <v>12100</v>
      </c>
      <c r="C107" s="1019">
        <f>Bilancloture!I96</f>
        <v>0</v>
      </c>
      <c r="D107" s="1018">
        <f t="shared" si="35"/>
        <v>12100</v>
      </c>
    </row>
    <row r="108" spans="1:6" ht="13.5">
      <c r="A108" s="999" t="str">
        <f>Bilancloture!G99</f>
        <v>Ecart de convertion de passif</v>
      </c>
      <c r="B108" s="1567">
        <f>Bilancloture!H99</f>
        <v>0</v>
      </c>
      <c r="C108" s="1019">
        <f>Bilancloture!I97</f>
        <v>0</v>
      </c>
      <c r="D108" s="1018">
        <f t="shared" si="35"/>
        <v>0</v>
      </c>
    </row>
    <row r="109" spans="1:6" ht="13.5">
      <c r="A109" s="998" t="s">
        <v>1416</v>
      </c>
      <c r="B109" s="1015">
        <f>SUM(B107:B108)</f>
        <v>12100</v>
      </c>
      <c r="C109" s="1015">
        <f t="shared" ref="C109:D109" si="36">SUM(C107:C108)</f>
        <v>0</v>
      </c>
      <c r="D109" s="1016">
        <f t="shared" si="36"/>
        <v>12100</v>
      </c>
    </row>
    <row r="110" spans="1:6" ht="13.5">
      <c r="A110" s="1005" t="s">
        <v>1399</v>
      </c>
      <c r="B110" s="1025">
        <f>SUM(B89,B99,B104)</f>
        <v>158179.4135021097</v>
      </c>
      <c r="C110" s="1025">
        <f t="shared" ref="C110:D110" si="37">SUM(C89,C99,C104)</f>
        <v>0</v>
      </c>
      <c r="D110" s="1026">
        <f t="shared" si="37"/>
        <v>158179.4135021097</v>
      </c>
    </row>
    <row r="111" spans="1:6" ht="14.25" thickBot="1">
      <c r="A111" s="1003" t="s">
        <v>1422</v>
      </c>
      <c r="B111" s="1023">
        <f>SUM(B82,B88,B110)</f>
        <v>288423</v>
      </c>
      <c r="C111" s="1027">
        <f>SUM(C82,C88,C110)</f>
        <v>0</v>
      </c>
      <c r="D111" s="1024">
        <f>SUM(D82,D88,D110)</f>
        <v>288423</v>
      </c>
      <c r="E111" s="1214"/>
      <c r="F111" s="1569"/>
    </row>
    <row r="112" spans="1:6" ht="13.5" thickBot="1">
      <c r="A112" s="1214"/>
      <c r="B112" s="1214"/>
      <c r="C112" s="1214"/>
      <c r="D112" s="1214"/>
      <c r="E112" s="1214"/>
      <c r="F112" s="1569"/>
    </row>
    <row r="113" spans="1:4" ht="13.5">
      <c r="A113" s="1666" t="s">
        <v>1443</v>
      </c>
      <c r="B113" s="1667"/>
      <c r="C113" s="1667"/>
      <c r="D113" s="1668"/>
    </row>
    <row r="114" spans="1:4" ht="13.5">
      <c r="A114" s="1006" t="str">
        <f>Résultat!E133</f>
        <v>Les Comptes de Produits</v>
      </c>
      <c r="B114" s="993"/>
      <c r="C114" s="993"/>
      <c r="D114" s="1007">
        <f>Résultat!F134</f>
        <v>1150230</v>
      </c>
    </row>
    <row r="115" spans="1:4" ht="13.5">
      <c r="A115" s="1006" t="str">
        <f>Résultat!E134</f>
        <v xml:space="preserve">Ventes de Produits+Services+Prestations </v>
      </c>
      <c r="B115" s="993"/>
      <c r="C115" s="993"/>
      <c r="D115" s="1007">
        <f>Résultat!F135</f>
        <v>1500</v>
      </c>
    </row>
    <row r="116" spans="1:4" ht="13.5">
      <c r="A116" s="1006" t="str">
        <f>Résultat!E135</f>
        <v>Production stockée</v>
      </c>
      <c r="B116" s="993"/>
      <c r="C116" s="993"/>
      <c r="D116" s="1007">
        <f>Résultat!F136</f>
        <v>70000</v>
      </c>
    </row>
    <row r="117" spans="1:4" ht="13.5">
      <c r="A117" s="1006" t="str">
        <f>Résultat!E136</f>
        <v>Variaton de socks augmentations</v>
      </c>
      <c r="B117" s="993"/>
      <c r="C117" s="993"/>
      <c r="D117" s="1007">
        <f>Résultat!F137</f>
        <v>0</v>
      </c>
    </row>
    <row r="118" spans="1:4" ht="13.5">
      <c r="A118" s="1006" t="str">
        <f>Résultat!E137</f>
        <v>Subventions d'Exploitation</v>
      </c>
      <c r="B118" s="993"/>
      <c r="C118" s="993"/>
      <c r="D118" s="1007">
        <f>Résultat!F138</f>
        <v>20</v>
      </c>
    </row>
    <row r="119" spans="1:4" ht="13.5">
      <c r="A119" s="1006" t="str">
        <f>Résultat!E138</f>
        <v xml:space="preserve">Autres produits de gestion courante </v>
      </c>
      <c r="B119" s="993"/>
      <c r="C119" s="993"/>
      <c r="D119" s="1007">
        <f>Résultat!F139</f>
        <v>39910</v>
      </c>
    </row>
    <row r="120" spans="1:4" ht="13.5">
      <c r="A120" s="1006" t="str">
        <f>Résultat!E139</f>
        <v xml:space="preserve">Produits Financiers </v>
      </c>
      <c r="B120" s="993"/>
      <c r="C120" s="993"/>
      <c r="D120" s="1007">
        <f>Résultat!F140</f>
        <v>89430</v>
      </c>
    </row>
    <row r="121" spans="1:4" ht="13.5">
      <c r="A121" s="1006" t="str">
        <f>Résultat!E140</f>
        <v xml:space="preserve">Produits Exceptionnels </v>
      </c>
      <c r="B121" s="993"/>
      <c r="C121" s="993"/>
      <c r="D121" s="1007">
        <f>Résultat!F141</f>
        <v>13000</v>
      </c>
    </row>
    <row r="122" spans="1:4" ht="13.5">
      <c r="A122" s="1006" t="str">
        <f>Résultat!E141</f>
        <v xml:space="preserve">Reprises sur Amortissements et Provisions </v>
      </c>
      <c r="B122" s="993"/>
      <c r="C122" s="993"/>
      <c r="D122" s="1007">
        <f>Résultat!F142</f>
        <v>0</v>
      </c>
    </row>
    <row r="123" spans="1:4" ht="13.5">
      <c r="A123" s="1008" t="s">
        <v>1444</v>
      </c>
      <c r="B123" s="1028"/>
      <c r="C123" s="1028"/>
      <c r="D123" s="1029">
        <f>SUM(D114:D122)</f>
        <v>1364090</v>
      </c>
    </row>
    <row r="124" spans="1:4" ht="13.5">
      <c r="A124" s="1009"/>
      <c r="B124" s="1030"/>
      <c r="C124" s="1030"/>
      <c r="D124" s="1031"/>
    </row>
    <row r="125" spans="1:4" ht="13.5">
      <c r="A125" s="1006" t="str">
        <f>Résultat!B133</f>
        <v>Les Comptes de Charges</v>
      </c>
      <c r="B125" s="993"/>
      <c r="C125" s="993"/>
      <c r="D125" s="1007">
        <f>Résultat!C133</f>
        <v>0</v>
      </c>
    </row>
    <row r="126" spans="1:4" ht="13.5">
      <c r="A126" s="1006" t="str">
        <f>Résultat!B134</f>
        <v>Les achats , frais d'achat et variation de stocks</v>
      </c>
      <c r="B126" s="993"/>
      <c r="C126" s="993"/>
      <c r="D126" s="1007">
        <f>Résultat!C134</f>
        <v>824710</v>
      </c>
    </row>
    <row r="127" spans="1:4" ht="13.5">
      <c r="A127" s="1006" t="str">
        <f>Résultat!B135</f>
        <v>Autres Charges Externes</v>
      </c>
      <c r="B127" s="993"/>
      <c r="C127" s="993"/>
      <c r="D127" s="1007">
        <f>Résultat!C135</f>
        <v>54640</v>
      </c>
    </row>
    <row r="128" spans="1:4" ht="13.5">
      <c r="A128" s="1006" t="str">
        <f>Résultat!B136</f>
        <v xml:space="preserve">Les Impots et Taxes </v>
      </c>
      <c r="B128" s="993"/>
      <c r="C128" s="993"/>
      <c r="D128" s="1007">
        <f>Résultat!C136</f>
        <v>1400</v>
      </c>
    </row>
    <row r="129" spans="1:4" ht="13.5">
      <c r="A129" s="1006" t="str">
        <f>Résultat!B137</f>
        <v xml:space="preserve">Rémunération du Personnel </v>
      </c>
      <c r="B129" s="993"/>
      <c r="C129" s="993"/>
      <c r="D129" s="1007">
        <f>Résultat!C137</f>
        <v>200000</v>
      </c>
    </row>
    <row r="130" spans="1:4" ht="13.5">
      <c r="A130" s="1006" t="str">
        <f>Résultat!B138</f>
        <v xml:space="preserve">Charges Sociales </v>
      </c>
      <c r="B130" s="993"/>
      <c r="C130" s="993"/>
      <c r="D130" s="1007">
        <f>Résultat!C138</f>
        <v>70000</v>
      </c>
    </row>
    <row r="131" spans="1:4" ht="13.5">
      <c r="A131" s="1006" t="str">
        <f>Résultat!B139</f>
        <v xml:space="preserve">Autres charges de gestion courante </v>
      </c>
      <c r="B131" s="993"/>
      <c r="C131" s="993"/>
      <c r="D131" s="1007">
        <f>Résultat!C139</f>
        <v>0</v>
      </c>
    </row>
    <row r="132" spans="1:4" ht="13.5">
      <c r="A132" s="1006" t="str">
        <f>Résultat!B140</f>
        <v xml:space="preserve">Charges Financières </v>
      </c>
      <c r="B132" s="993"/>
      <c r="C132" s="993"/>
      <c r="D132" s="1007">
        <f>Résultat!C140</f>
        <v>27896.413502109706</v>
      </c>
    </row>
    <row r="133" spans="1:4" ht="13.5">
      <c r="A133" s="1006" t="str">
        <f>Résultat!B141</f>
        <v xml:space="preserve">Charges exceptionnelles </v>
      </c>
      <c r="B133" s="993"/>
      <c r="C133" s="993"/>
      <c r="D133" s="1007">
        <f>Résultat!C141</f>
        <v>67800</v>
      </c>
    </row>
    <row r="134" spans="1:4" ht="13.5">
      <c r="A134" s="1006" t="str">
        <f>Résultat!B142</f>
        <v xml:space="preserve">Dotations aux Amortissements et aux Provisions </v>
      </c>
      <c r="B134" s="993"/>
      <c r="C134" s="993"/>
      <c r="D134" s="1007">
        <f>Résultat!C142</f>
        <v>26000</v>
      </c>
    </row>
    <row r="135" spans="1:4" ht="13.5">
      <c r="A135" s="1006" t="str">
        <f>Résultat!B143</f>
        <v xml:space="preserve">Impots sur les Bénéfices </v>
      </c>
      <c r="B135" s="993"/>
      <c r="C135" s="993"/>
      <c r="D135" s="1007">
        <f>Résultat!C143</f>
        <v>0</v>
      </c>
    </row>
    <row r="136" spans="1:4" ht="13.5">
      <c r="A136" s="1010" t="s">
        <v>1445</v>
      </c>
      <c r="B136" s="994"/>
      <c r="C136" s="994"/>
      <c r="D136" s="1011">
        <f>SUM(D125:D135)</f>
        <v>1272446.4135021097</v>
      </c>
    </row>
    <row r="137" spans="1:4" ht="13.5">
      <c r="A137" s="1012" t="str">
        <f>Résultat!E143</f>
        <v>Résultat Net</v>
      </c>
      <c r="B137" s="995"/>
      <c r="C137" s="1032"/>
      <c r="D137" s="1013">
        <f>D123-D136</f>
        <v>91643.586497890297</v>
      </c>
    </row>
    <row r="138" spans="1:4" ht="13.5">
      <c r="A138" s="1669" t="s">
        <v>1446</v>
      </c>
      <c r="B138" s="1670"/>
      <c r="C138" s="1670"/>
      <c r="D138" s="1671"/>
    </row>
    <row r="139" spans="1:4" ht="13.5">
      <c r="A139" s="1009" t="str">
        <f>Résultat!B146</f>
        <v>Ventes  (CA)</v>
      </c>
      <c r="B139" s="1030"/>
      <c r="C139" s="1030"/>
      <c r="D139" s="1031">
        <f>Résultat!F146</f>
        <v>1150230</v>
      </c>
    </row>
    <row r="140" spans="1:4" ht="13.5">
      <c r="A140" s="1008" t="s">
        <v>1437</v>
      </c>
      <c r="B140" s="1028"/>
      <c r="C140" s="1028"/>
      <c r="D140" s="1029">
        <f>D139</f>
        <v>1150230</v>
      </c>
    </row>
    <row r="141" spans="1:4" ht="13.5">
      <c r="A141" s="1009" t="str">
        <f>Résultat!B147</f>
        <v>Production Stockée</v>
      </c>
      <c r="B141" s="1030"/>
      <c r="C141" s="1030"/>
      <c r="D141" s="1031">
        <f>Résultat!F147</f>
        <v>1500</v>
      </c>
    </row>
    <row r="142" spans="1:4" ht="13.5">
      <c r="A142" s="1009" t="str">
        <f>Résultat!B148</f>
        <v>Variation de stocks de produits augmentations</v>
      </c>
      <c r="B142" s="1030"/>
      <c r="C142" s="1030"/>
      <c r="D142" s="1031">
        <f>Résultat!F148</f>
        <v>70000</v>
      </c>
    </row>
    <row r="143" spans="1:4" ht="13.5">
      <c r="A143" s="1008" t="s">
        <v>1438</v>
      </c>
      <c r="B143" s="1028"/>
      <c r="C143" s="1028"/>
      <c r="D143" s="1029">
        <f>SUM(D140:D142)</f>
        <v>1221730</v>
      </c>
    </row>
    <row r="144" spans="1:4" ht="13.5">
      <c r="A144" s="1009" t="str">
        <f>Résultat!B153</f>
        <v>Charges d'Exploitation</v>
      </c>
      <c r="B144" s="1030"/>
      <c r="C144" s="1030"/>
      <c r="D144" s="1031">
        <f>Résultat!F153</f>
        <v>0</v>
      </c>
    </row>
    <row r="145" spans="1:4" ht="13.5">
      <c r="A145" s="1009" t="str">
        <f>Résultat!B154</f>
        <v>Achats (Matières, marchandises)</v>
      </c>
      <c r="B145" s="1030"/>
      <c r="C145" s="1030"/>
      <c r="D145" s="1031">
        <f>Résultat!F154</f>
        <v>824710</v>
      </c>
    </row>
    <row r="146" spans="1:4" ht="13.5">
      <c r="A146" s="1008" t="s">
        <v>1439</v>
      </c>
      <c r="B146" s="1028"/>
      <c r="C146" s="1028"/>
      <c r="D146" s="1029">
        <f>D145</f>
        <v>824710</v>
      </c>
    </row>
    <row r="147" spans="1:4" ht="13.5">
      <c r="A147" s="1008" t="s">
        <v>1440</v>
      </c>
      <c r="B147" s="1028"/>
      <c r="C147" s="1028"/>
      <c r="D147" s="1029">
        <f>D143-D146</f>
        <v>397020</v>
      </c>
    </row>
    <row r="148" spans="1:4" ht="13.5">
      <c r="A148" s="1009" t="str">
        <f>Résultat!B155</f>
        <v>Autres Charges Externes</v>
      </c>
      <c r="B148" s="1030"/>
      <c r="C148" s="1030"/>
      <c r="D148" s="1031">
        <f>Résultat!F155</f>
        <v>54640</v>
      </c>
    </row>
    <row r="149" spans="1:4" ht="13.5">
      <c r="A149" s="1008" t="s">
        <v>1441</v>
      </c>
      <c r="B149" s="1028"/>
      <c r="C149" s="1028"/>
      <c r="D149" s="1029">
        <f>D147-D148</f>
        <v>342380</v>
      </c>
    </row>
    <row r="150" spans="1:4" ht="13.5">
      <c r="A150" s="1009" t="str">
        <f>Résultat!B156</f>
        <v>Impôts et Taxes</v>
      </c>
      <c r="B150" s="1030"/>
      <c r="C150" s="1030"/>
      <c r="D150" s="1031">
        <f>Résultat!F156</f>
        <v>1400</v>
      </c>
    </row>
    <row r="151" spans="1:4" ht="13.5">
      <c r="A151" s="1009" t="str">
        <f>Résultat!B157</f>
        <v xml:space="preserve">Rémunération des Salariés </v>
      </c>
      <c r="B151" s="1030"/>
      <c r="C151" s="1030"/>
      <c r="D151" s="1031">
        <f>Résultat!F157</f>
        <v>200000</v>
      </c>
    </row>
    <row r="152" spans="1:4" ht="13.5">
      <c r="A152" s="1009" t="str">
        <f>Résultat!B158</f>
        <v xml:space="preserve">Charges Sociales </v>
      </c>
      <c r="B152" s="1030"/>
      <c r="C152" s="1030"/>
      <c r="D152" s="1031">
        <f>Résultat!F158</f>
        <v>70000</v>
      </c>
    </row>
    <row r="153" spans="1:4" ht="13.5">
      <c r="A153" s="1009" t="str">
        <f>Résultat!B149</f>
        <v>Subventions d'exploitation</v>
      </c>
      <c r="B153" s="1030"/>
      <c r="C153" s="1030"/>
      <c r="D153" s="1031">
        <f>Résultat!F149</f>
        <v>0</v>
      </c>
    </row>
    <row r="154" spans="1:4" ht="13.5">
      <c r="A154" s="1008" t="s">
        <v>1442</v>
      </c>
      <c r="B154" s="1028"/>
      <c r="C154" s="1028"/>
      <c r="D154" s="1029">
        <f>D149-SUM(D150:D153)</f>
        <v>70980</v>
      </c>
    </row>
    <row r="155" spans="1:4" ht="13.5">
      <c r="A155" s="1009" t="str">
        <f>Résultat!B159</f>
        <v>Autres charges gestion courante</v>
      </c>
      <c r="B155" s="1030"/>
      <c r="C155" s="1030"/>
      <c r="D155" s="1031">
        <f>Résultat!F159</f>
        <v>0</v>
      </c>
    </row>
    <row r="156" spans="1:4" ht="13.5">
      <c r="A156" s="1009" t="str">
        <f>Résultat!B160</f>
        <v>Dot. Amortissements+Provisions</v>
      </c>
      <c r="B156" s="1030"/>
      <c r="C156" s="1030"/>
      <c r="D156" s="1031">
        <f>Résultat!F160</f>
        <v>26000</v>
      </c>
    </row>
    <row r="157" spans="1:4" ht="13.5">
      <c r="A157" s="1009" t="str">
        <f>Résultat!B150</f>
        <v>Autres Produits gestion courante</v>
      </c>
      <c r="B157" s="1030"/>
      <c r="C157" s="1030"/>
      <c r="D157" s="1031">
        <f>Résultat!F150</f>
        <v>20</v>
      </c>
    </row>
    <row r="158" spans="1:4" ht="13.5">
      <c r="A158" s="1009" t="str">
        <f>Résultat!B151</f>
        <v>Reprises sur Amort.+ Prvovisions</v>
      </c>
      <c r="B158" s="1030"/>
      <c r="C158" s="1030"/>
      <c r="D158" s="1031">
        <f>Résultat!F151</f>
        <v>13000</v>
      </c>
    </row>
    <row r="159" spans="1:4" ht="13.5">
      <c r="A159" s="1008" t="str">
        <f>Résultat!B162</f>
        <v>Résultat d'exploitation:</v>
      </c>
      <c r="B159" s="1028"/>
      <c r="C159" s="1028"/>
      <c r="D159" s="1029">
        <f>D154-SUM(D155:D156)+SUM(D157:D158)</f>
        <v>58000</v>
      </c>
    </row>
    <row r="160" spans="1:4" ht="13.5">
      <c r="A160" s="1009" t="str">
        <f>Résultat!B163</f>
        <v>Produits Financiers:</v>
      </c>
      <c r="B160" s="1030"/>
      <c r="C160" s="1030"/>
      <c r="D160" s="1031">
        <f>Résultat!F163</f>
        <v>39910</v>
      </c>
    </row>
    <row r="161" spans="1:4" ht="13.5">
      <c r="A161" s="1009" t="str">
        <f>Résultat!B164</f>
        <v>Charges Financières:</v>
      </c>
      <c r="B161" s="1030"/>
      <c r="C161" s="1030"/>
      <c r="D161" s="1031">
        <f>Résultat!F164</f>
        <v>27896.413502109706</v>
      </c>
    </row>
    <row r="162" spans="1:4" ht="13.5">
      <c r="A162" s="1008" t="str">
        <f>Résultat!B165</f>
        <v>Résultat Financier:</v>
      </c>
      <c r="B162" s="1028"/>
      <c r="C162" s="1028"/>
      <c r="D162" s="1029">
        <f>D160-D161</f>
        <v>12013.586497890294</v>
      </c>
    </row>
    <row r="163" spans="1:4" ht="13.5">
      <c r="A163" s="1008" t="str">
        <f>Résultat!B166</f>
        <v>Résultat courant:</v>
      </c>
      <c r="B163" s="1028"/>
      <c r="C163" s="1028"/>
      <c r="D163" s="1029">
        <f>D159+D162</f>
        <v>70013.586497890297</v>
      </c>
    </row>
    <row r="164" spans="1:4" ht="13.5">
      <c r="A164" s="1009" t="str">
        <f>Résultat!B167</f>
        <v>Produits exceptionnels:</v>
      </c>
      <c r="B164" s="1030"/>
      <c r="C164" s="1030"/>
      <c r="D164" s="1031">
        <f>Résultat!F167</f>
        <v>89430</v>
      </c>
    </row>
    <row r="165" spans="1:4" ht="13.5">
      <c r="A165" s="1009" t="str">
        <f>Résultat!B168</f>
        <v>Charges exceptionnelles:</v>
      </c>
      <c r="B165" s="1030"/>
      <c r="C165" s="1030"/>
      <c r="D165" s="1031">
        <f>Résultat!F168</f>
        <v>67800</v>
      </c>
    </row>
    <row r="166" spans="1:4" ht="13.5">
      <c r="A166" s="1008" t="str">
        <f>Résultat!B169</f>
        <v>Résultat exceptionnel:</v>
      </c>
      <c r="B166" s="1028"/>
      <c r="C166" s="1028"/>
      <c r="D166" s="1029">
        <f>D164-D165</f>
        <v>21630</v>
      </c>
    </row>
    <row r="167" spans="1:4" ht="14.25" thickBot="1">
      <c r="A167" s="1014" t="str">
        <f>Résultat!B170</f>
        <v>Résultat net avant I.S. :</v>
      </c>
      <c r="B167" s="1033"/>
      <c r="C167" s="1033"/>
      <c r="D167" s="1034">
        <f>D163+D166</f>
        <v>91643.586497890297</v>
      </c>
    </row>
  </sheetData>
  <mergeCells count="4">
    <mergeCell ref="A1:D1"/>
    <mergeCell ref="A57:D57"/>
    <mergeCell ref="A113:D113"/>
    <mergeCell ref="A138:D138"/>
  </mergeCell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4</vt:i4>
      </vt:variant>
    </vt:vector>
  </HeadingPairs>
  <TitlesOfParts>
    <vt:vector size="26" baseType="lpstr">
      <vt:lpstr>Menu</vt:lpstr>
      <vt:lpstr>Compte</vt:lpstr>
      <vt:lpstr>Bilanouverture</vt:lpstr>
      <vt:lpstr>Résultat</vt:lpstr>
      <vt:lpstr>Journal</vt:lpstr>
      <vt:lpstr>Balance</vt:lpstr>
      <vt:lpstr>Bilancloture</vt:lpstr>
      <vt:lpstr>TVA</vt:lpstr>
      <vt:lpstr>Imprimer</vt:lpstr>
      <vt:lpstr>Gestion</vt:lpstr>
      <vt:lpstr>Amortim</vt:lpstr>
      <vt:lpstr>Amorfin</vt:lpstr>
      <vt:lpstr>Maths</vt:lpstr>
      <vt:lpstr>Sociétés</vt:lpstr>
      <vt:lpstr>Clients</vt:lpstr>
      <vt:lpstr>Achats</vt:lpstr>
      <vt:lpstr>Salaires</vt:lpstr>
      <vt:lpstr>Change</vt:lpstr>
      <vt:lpstr>Provisions</vt:lpstr>
      <vt:lpstr>immobilisations</vt:lpstr>
      <vt:lpstr>Exercices</vt:lpstr>
      <vt:lpstr>Concordance</vt:lpstr>
      <vt:lpstr>Compte</vt:lpstr>
      <vt:lpstr>Date</vt:lpstr>
      <vt:lpstr>ecrit</vt:lpstr>
      <vt:lpstr>Taux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Tableur logiciel comptabilité UEMOA</dc:title>
  <dc:subject>Comptabilité</dc:subject>
  <dc:creator/>
  <cp:keywords>Comptabilité UEMOA</cp:keywords>
  <dc:description>Logiciel et tutorial de comptabilité pour l'UEMOA avec le nouveau PCG ohada-Syscoa</dc:description>
  <cp:lastModifiedBy/>
  <dcterms:created xsi:type="dcterms:W3CDTF">2006-09-12T15:06:44Z</dcterms:created>
  <dcterms:modified xsi:type="dcterms:W3CDTF">2015-02-02T14:41:43Z</dcterms:modified>
  <cp:category>Comptabilité Gestion</cp:category>
  <cp:version>Version1</cp:version>
</cp:coreProperties>
</file>