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queryTables/queryTable1.xml" ContentType="application/vnd.openxmlformats-officedocument.spreadsheetml.queryTable+xml"/>
  <Override PartName="/xl/tables/table3.xml" ContentType="application/vnd.openxmlformats-officedocument.spreadsheetml.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showInkAnnotation="0" codeName="ThisWorkbook" defaultThemeVersion="124226"/>
  <bookViews>
    <workbookView xWindow="-14280" yWindow="7275" windowWidth="22125" windowHeight="5790" tabRatio="764"/>
  </bookViews>
  <sheets>
    <sheet name="Flexion" sheetId="20" r:id="rId1"/>
    <sheet name="Données" sheetId="21" state="hidden" r:id="rId2"/>
    <sheet name="MATERIAU" sheetId="11" r:id="rId3"/>
    <sheet name="PROFILS" sheetId="14" r:id="rId4"/>
  </sheets>
  <definedNames>
    <definedName name="_xlnm._FilterDatabase" localSheetId="1" hidden="1">Données!$A$9:$S$210</definedName>
    <definedName name="base" localSheetId="2" hidden="1">MATERIAU!$A$1:$F$3</definedName>
    <definedName name="base" localSheetId="3" hidden="1">PROFILS!$A$1:$P$165</definedName>
    <definedName name="_xlnm.Criteria" localSheetId="1">Données!$C$1:$L$3</definedName>
    <definedName name="_xlnm.Extract" localSheetId="1">Données!$A$4:$S$8</definedName>
    <definedName name="Ligne">GET.DOCUMENT(12)</definedName>
    <definedName name="VEROU_O">IF(GET.CELL(14,!A1)=TRUE,0,1)</definedName>
  </definedNames>
  <calcPr calcId="145621"/>
</workbook>
</file>

<file path=xl/calcChain.xml><?xml version="1.0" encoding="utf-8"?>
<calcChain xmlns="http://schemas.openxmlformats.org/spreadsheetml/2006/main">
  <c r="A11" i="20" l="1"/>
  <c r="B26" i="20"/>
  <c r="N10" i="21" l="1"/>
  <c r="A11" i="21"/>
  <c r="A12" i="21" l="1"/>
  <c r="A13" i="21" l="1"/>
  <c r="A14" i="21" l="1"/>
  <c r="C19" i="20"/>
  <c r="C17" i="20" s="1"/>
  <c r="A15" i="21" l="1"/>
  <c r="C18" i="20"/>
  <c r="A16" i="21" l="1"/>
  <c r="D23" i="20"/>
  <c r="K14" i="20"/>
  <c r="L14" i="20"/>
  <c r="M14" i="20"/>
  <c r="N14" i="20"/>
  <c r="O14" i="20"/>
  <c r="P14" i="20"/>
  <c r="Q14" i="20"/>
  <c r="R14" i="20"/>
  <c r="S14" i="20"/>
  <c r="T14" i="20"/>
  <c r="U14" i="20"/>
  <c r="V14" i="20"/>
  <c r="W14" i="20"/>
  <c r="X14" i="20"/>
  <c r="Y14" i="20"/>
  <c r="Z14" i="20"/>
  <c r="J17" i="20"/>
  <c r="J18" i="20" s="1"/>
  <c r="K17" i="20"/>
  <c r="K18" i="20" s="1"/>
  <c r="L17" i="20"/>
  <c r="L18" i="20" s="1"/>
  <c r="M17" i="20"/>
  <c r="M18" i="20" s="1"/>
  <c r="N17" i="20"/>
  <c r="N18" i="20" s="1"/>
  <c r="O17" i="20"/>
  <c r="O18" i="20" s="1"/>
  <c r="P17" i="20"/>
  <c r="P18" i="20" s="1"/>
  <c r="Q17" i="20"/>
  <c r="Q18" i="20" s="1"/>
  <c r="R17" i="20"/>
  <c r="R18" i="20" s="1"/>
  <c r="S17" i="20"/>
  <c r="S18" i="20" s="1"/>
  <c r="T17" i="20"/>
  <c r="T18" i="20" s="1"/>
  <c r="U17" i="20"/>
  <c r="U18" i="20" s="1"/>
  <c r="V17" i="20"/>
  <c r="V18" i="20" s="1"/>
  <c r="W17" i="20"/>
  <c r="W18" i="20" s="1"/>
  <c r="X17" i="20"/>
  <c r="X18" i="20" s="1"/>
  <c r="Y17" i="20"/>
  <c r="Y18" i="20" s="1"/>
  <c r="Z17" i="20"/>
  <c r="Z18" i="20" s="1"/>
  <c r="J19" i="20"/>
  <c r="K19" i="20"/>
  <c r="L19" i="20"/>
  <c r="M19" i="20"/>
  <c r="N19" i="20"/>
  <c r="O19" i="20"/>
  <c r="P19" i="20"/>
  <c r="Q19" i="20"/>
  <c r="R19" i="20"/>
  <c r="S19" i="20"/>
  <c r="T19" i="20"/>
  <c r="U19" i="20"/>
  <c r="V19" i="20"/>
  <c r="W19" i="20"/>
  <c r="X19" i="20"/>
  <c r="Y19" i="20"/>
  <c r="Z19" i="20"/>
  <c r="K20" i="20"/>
  <c r="L20" i="20"/>
  <c r="M20" i="20"/>
  <c r="N20" i="20"/>
  <c r="O20" i="20"/>
  <c r="P20" i="20"/>
  <c r="Q20" i="20"/>
  <c r="R20" i="20"/>
  <c r="S20" i="20"/>
  <c r="T20" i="20"/>
  <c r="U20" i="20"/>
  <c r="V20" i="20"/>
  <c r="W20" i="20"/>
  <c r="X20" i="20"/>
  <c r="Y20" i="20"/>
  <c r="Z20" i="20"/>
  <c r="F17" i="20"/>
  <c r="F18" i="20" s="1"/>
  <c r="G17" i="20"/>
  <c r="G18" i="20" s="1"/>
  <c r="H17" i="20"/>
  <c r="H18" i="20" s="1"/>
  <c r="I17" i="20"/>
  <c r="I18" i="20" s="1"/>
  <c r="F19" i="20"/>
  <c r="G19" i="20"/>
  <c r="H19" i="20"/>
  <c r="I19" i="20"/>
  <c r="D17" i="20"/>
  <c r="D18" i="20" s="1"/>
  <c r="E17" i="20"/>
  <c r="E18" i="20" s="1"/>
  <c r="E19" i="20"/>
  <c r="D19" i="20"/>
  <c r="A17" i="21" l="1"/>
  <c r="R22" i="20"/>
  <c r="T22" i="20"/>
  <c r="P22" i="20"/>
  <c r="L22" i="20"/>
  <c r="N22" i="20"/>
  <c r="X22" i="20"/>
  <c r="W22" i="20"/>
  <c r="S22" i="20"/>
  <c r="O22" i="20"/>
  <c r="K22" i="20"/>
  <c r="Z22" i="20"/>
  <c r="V22" i="20"/>
  <c r="Y22" i="20"/>
  <c r="U22" i="20"/>
  <c r="Q22" i="20"/>
  <c r="M22" i="20"/>
  <c r="A19" i="20"/>
  <c r="A18" i="21" l="1"/>
  <c r="A18" i="20"/>
  <c r="J20" i="20" l="1"/>
  <c r="I20" i="20"/>
  <c r="A19" i="21"/>
  <c r="H20" i="20"/>
  <c r="E20" i="20"/>
  <c r="F20" i="20"/>
  <c r="G20" i="20"/>
  <c r="J3" i="20"/>
  <c r="A20" i="21" l="1"/>
  <c r="D20" i="20"/>
  <c r="A21" i="21" l="1"/>
  <c r="E21" i="20"/>
  <c r="F21" i="20" s="1"/>
  <c r="A22" i="21" l="1"/>
  <c r="D8" i="20"/>
  <c r="E8" i="20"/>
  <c r="F8" i="20"/>
  <c r="G8" i="20"/>
  <c r="C8" i="20"/>
  <c r="D3" i="20"/>
  <c r="E3" i="20"/>
  <c r="F3" i="20"/>
  <c r="G3" i="20"/>
  <c r="H3" i="20"/>
  <c r="I3" i="20"/>
  <c r="K3" i="20"/>
  <c r="L3" i="20"/>
  <c r="M3" i="20"/>
  <c r="N3" i="20"/>
  <c r="O3" i="20"/>
  <c r="P3" i="20"/>
  <c r="Q3" i="20"/>
  <c r="D4" i="20"/>
  <c r="E4" i="20"/>
  <c r="F4" i="20"/>
  <c r="G4" i="20"/>
  <c r="H4" i="20"/>
  <c r="I4" i="20"/>
  <c r="J4" i="20"/>
  <c r="K4" i="20"/>
  <c r="L4" i="20"/>
  <c r="M4" i="20"/>
  <c r="N4" i="20"/>
  <c r="O4" i="20"/>
  <c r="P4" i="20"/>
  <c r="Q4" i="20"/>
  <c r="C4" i="20"/>
  <c r="C3" i="20"/>
  <c r="A13" i="20"/>
  <c r="A14" i="20"/>
  <c r="L2" i="21" l="1"/>
  <c r="A23" i="21"/>
  <c r="I14" i="20"/>
  <c r="J14" i="20"/>
  <c r="J22" i="20" s="1"/>
  <c r="D14" i="20"/>
  <c r="G14" i="20"/>
  <c r="F14" i="20"/>
  <c r="G21" i="20"/>
  <c r="H14" i="20"/>
  <c r="E14" i="20"/>
  <c r="D48" i="20"/>
  <c r="A24" i="21" l="1"/>
  <c r="I22" i="20"/>
  <c r="G22" i="20"/>
  <c r="E15" i="20"/>
  <c r="F22" i="20"/>
  <c r="H21" i="20"/>
  <c r="H22" i="20"/>
  <c r="E22" i="20"/>
  <c r="D22" i="20"/>
  <c r="A25" i="21" l="1"/>
  <c r="I21" i="20"/>
  <c r="J21" i="20" s="1"/>
  <c r="F15" i="20"/>
  <c r="G15" i="20" s="1"/>
  <c r="E23" i="20"/>
  <c r="C21" i="20"/>
  <c r="K21" i="20" l="1"/>
  <c r="L21" i="20" s="1"/>
  <c r="M21" i="20" s="1"/>
  <c r="N21" i="20" s="1"/>
  <c r="O21" i="20" s="1"/>
  <c r="P21" i="20" s="1"/>
  <c r="Q21" i="20" s="1"/>
  <c r="R21" i="20" s="1"/>
  <c r="S21" i="20" s="1"/>
  <c r="T21" i="20" s="1"/>
  <c r="U21" i="20" s="1"/>
  <c r="V21" i="20" s="1"/>
  <c r="W21" i="20" s="1"/>
  <c r="X21" i="20" s="1"/>
  <c r="Y21" i="20" s="1"/>
  <c r="Z21" i="20" s="1"/>
  <c r="A26" i="21"/>
  <c r="H15" i="20"/>
  <c r="F23" i="20"/>
  <c r="A27" i="21" l="1"/>
  <c r="I15" i="20"/>
  <c r="G23" i="20"/>
  <c r="A28" i="21" l="1"/>
  <c r="H23" i="20"/>
  <c r="A29" i="21" l="1"/>
  <c r="J15" i="20"/>
  <c r="I23" i="20"/>
  <c r="C15" i="20"/>
  <c r="C23" i="20" l="1"/>
  <c r="A30" i="21"/>
  <c r="K15" i="20"/>
  <c r="J23" i="20"/>
  <c r="A31" i="21" l="1"/>
  <c r="L15" i="20"/>
  <c r="K23" i="20"/>
  <c r="A32" i="21" l="1"/>
  <c r="M15" i="20"/>
  <c r="L23" i="20"/>
  <c r="A33" i="21" l="1"/>
  <c r="N15" i="20"/>
  <c r="M23" i="20"/>
  <c r="A34" i="21" l="1"/>
  <c r="O15" i="20"/>
  <c r="N23" i="20"/>
  <c r="A35" i="21" l="1"/>
  <c r="P15" i="20"/>
  <c r="O23" i="20"/>
  <c r="A36" i="21" l="1"/>
  <c r="Q15" i="20"/>
  <c r="P23" i="20"/>
  <c r="A37" i="21" l="1"/>
  <c r="R15" i="20"/>
  <c r="Q23" i="20"/>
  <c r="A38" i="21" l="1"/>
  <c r="S15" i="20"/>
  <c r="R23" i="20"/>
  <c r="A39" i="21" l="1"/>
  <c r="T15" i="20"/>
  <c r="S23" i="20"/>
  <c r="A40" i="21" l="1"/>
  <c r="U15" i="20"/>
  <c r="T23" i="20"/>
  <c r="A41" i="21" l="1"/>
  <c r="V15" i="20"/>
  <c r="U23" i="20"/>
  <c r="A42" i="21" l="1"/>
  <c r="W15" i="20"/>
  <c r="V23" i="20"/>
  <c r="A43" i="21" l="1"/>
  <c r="X15" i="20"/>
  <c r="W23" i="20"/>
  <c r="A44" i="21" l="1"/>
  <c r="Y15" i="20"/>
  <c r="X23" i="20"/>
  <c r="A45" i="21" l="1"/>
  <c r="Z15" i="20"/>
  <c r="Y23" i="20"/>
  <c r="A46" i="21" l="1"/>
  <c r="Z23" i="20"/>
  <c r="A47" i="21" l="1"/>
  <c r="A48" i="21" l="1"/>
  <c r="A49" i="21" l="1"/>
  <c r="A50" i="21" l="1"/>
  <c r="A51" i="21" l="1"/>
  <c r="A52" i="21" l="1"/>
  <c r="A53" i="21" l="1"/>
  <c r="A54" i="21" l="1"/>
  <c r="A55" i="21" l="1"/>
  <c r="A56" i="21" l="1"/>
  <c r="A57" i="21" l="1"/>
  <c r="A58" i="21" l="1"/>
  <c r="A59" i="21" l="1"/>
  <c r="A60" i="21" l="1"/>
  <c r="A61" i="21" l="1"/>
  <c r="A62" i="21" l="1"/>
  <c r="A63" i="21" l="1"/>
  <c r="A64" i="21" l="1"/>
  <c r="A65" i="21" l="1"/>
  <c r="A66" i="21" l="1"/>
  <c r="A67" i="21" l="1"/>
  <c r="A68" i="21" l="1"/>
  <c r="A69" i="21" l="1"/>
  <c r="A70" i="21" l="1"/>
  <c r="A71" i="21" l="1"/>
  <c r="A72" i="21" l="1"/>
  <c r="A73" i="21" l="1"/>
  <c r="A74" i="21" l="1"/>
  <c r="A75" i="21" l="1"/>
  <c r="A76" i="21" l="1"/>
  <c r="A77" i="21" l="1"/>
  <c r="A78" i="21" l="1"/>
  <c r="A79" i="21" l="1"/>
  <c r="A80" i="21" l="1"/>
  <c r="A81" i="21" l="1"/>
  <c r="A82" i="21" l="1"/>
  <c r="A83" i="21" l="1"/>
  <c r="A84" i="21" l="1"/>
  <c r="A85" i="21" l="1"/>
  <c r="A86" i="21" l="1"/>
  <c r="A87" i="21" l="1"/>
  <c r="A88" i="21" l="1"/>
  <c r="A89" i="21" l="1"/>
  <c r="A90" i="21" l="1"/>
  <c r="A91" i="21" l="1"/>
  <c r="A92" i="21" l="1"/>
  <c r="A93" i="21" l="1"/>
  <c r="A94" i="21" l="1"/>
  <c r="A95" i="21" l="1"/>
  <c r="A96" i="21" l="1"/>
  <c r="A97" i="21" l="1"/>
  <c r="A98" i="21" l="1"/>
  <c r="A99" i="21" l="1"/>
  <c r="A100" i="21" l="1"/>
  <c r="A101" i="21" l="1"/>
  <c r="A102" i="21" l="1"/>
  <c r="A103" i="21" l="1"/>
  <c r="A104" i="21" l="1"/>
  <c r="A105" i="21" l="1"/>
  <c r="A106" i="21" l="1"/>
  <c r="A107" i="21" l="1"/>
  <c r="A108" i="21" l="1"/>
  <c r="A109" i="21" l="1"/>
  <c r="A110" i="21" l="1"/>
  <c r="A111" i="21" l="1"/>
  <c r="A112" i="21" l="1"/>
  <c r="A113" i="21" l="1"/>
  <c r="A114" i="21" l="1"/>
  <c r="A115" i="21" l="1"/>
  <c r="A116" i="21" l="1"/>
  <c r="A117" i="21" l="1"/>
  <c r="A118" i="21" l="1"/>
  <c r="A119" i="21" l="1"/>
  <c r="A120" i="21" l="1"/>
  <c r="A121" i="21" l="1"/>
  <c r="A122" i="21" l="1"/>
  <c r="A123" i="21" l="1"/>
  <c r="A124" i="21" l="1"/>
  <c r="A125" i="21" l="1"/>
  <c r="A126" i="21" l="1"/>
  <c r="A127" i="21" l="1"/>
  <c r="A128" i="21" l="1"/>
  <c r="A129" i="21" l="1"/>
  <c r="A130" i="21" l="1"/>
  <c r="A131" i="21" l="1"/>
  <c r="A132" i="21" l="1"/>
  <c r="A133" i="21" l="1"/>
  <c r="A134" i="21" l="1"/>
  <c r="A135" i="21" l="1"/>
  <c r="A136" i="21" l="1"/>
  <c r="A137" i="21" l="1"/>
  <c r="A138" i="21" l="1"/>
  <c r="A139" i="21" l="1"/>
  <c r="A140" i="21" l="1"/>
  <c r="A141" i="21" l="1"/>
  <c r="A142" i="21" l="1"/>
  <c r="A143" i="21" l="1"/>
  <c r="A144" i="21" l="1"/>
  <c r="A145" i="21" l="1"/>
  <c r="A146" i="21" l="1"/>
  <c r="A147" i="21" l="1"/>
  <c r="A148" i="21" l="1"/>
  <c r="A149" i="21" l="1"/>
  <c r="A150" i="21" l="1"/>
  <c r="A151" i="21" l="1"/>
  <c r="A152" i="21" l="1"/>
  <c r="A153" i="21" l="1"/>
  <c r="A154" i="21" l="1"/>
  <c r="A155" i="21" l="1"/>
  <c r="A156" i="21" l="1"/>
  <c r="A157" i="21" l="1"/>
  <c r="A158" i="21" l="1"/>
  <c r="A159" i="21" l="1"/>
  <c r="A160" i="21" l="1"/>
  <c r="A161" i="21" l="1"/>
  <c r="A162" i="21" l="1"/>
  <c r="A163" i="21" l="1"/>
  <c r="A164" i="21" l="1"/>
  <c r="A165" i="21" l="1"/>
  <c r="A166" i="21" l="1"/>
  <c r="A167" i="21" l="1"/>
  <c r="A168" i="21" l="1"/>
  <c r="A169" i="21" l="1"/>
  <c r="A170" i="21" l="1"/>
  <c r="A171" i="21" l="1"/>
  <c r="A172" i="21" l="1"/>
  <c r="A173" i="21" l="1"/>
  <c r="A174" i="21" l="1"/>
  <c r="A175" i="21" l="1"/>
  <c r="A176" i="21" l="1"/>
  <c r="A177" i="21" l="1"/>
  <c r="A178" i="21" l="1"/>
  <c r="A179" i="21" l="1"/>
  <c r="A180" i="21" l="1"/>
  <c r="A181" i="21" l="1"/>
  <c r="A182" i="21" l="1"/>
  <c r="A183" i="21" l="1"/>
  <c r="A184" i="21" l="1"/>
  <c r="A185" i="21" l="1"/>
  <c r="A186" i="21" l="1"/>
  <c r="A187" i="21" l="1"/>
  <c r="A188" i="21" l="1"/>
  <c r="A189" i="21" l="1"/>
  <c r="A190" i="21" l="1"/>
  <c r="A191" i="21" l="1"/>
  <c r="A192" i="21" l="1"/>
  <c r="A193" i="21" l="1"/>
  <c r="A194" i="21" l="1"/>
  <c r="A195" i="21" l="1"/>
  <c r="A196" i="21" l="1"/>
  <c r="A197" i="21" l="1"/>
  <c r="A198" i="21" l="1"/>
  <c r="A199" i="21" l="1"/>
  <c r="A200" i="21" l="1"/>
  <c r="A201" i="21" l="1"/>
  <c r="A202" i="21" l="1"/>
  <c r="A203" i="21" l="1"/>
  <c r="A204" i="21" l="1"/>
  <c r="A205" i="21" l="1"/>
  <c r="A206" i="21" l="1"/>
  <c r="A207" i="21" l="1"/>
  <c r="A208" i="21" l="1"/>
  <c r="A209" i="21" l="1"/>
  <c r="A210" i="21" l="1"/>
  <c r="A2" i="21" l="1"/>
  <c r="C2" i="21"/>
  <c r="C10" i="21" l="1"/>
  <c r="B10" i="21" s="1"/>
  <c r="E10" i="21" s="1"/>
  <c r="C11" i="21"/>
  <c r="B11" i="21" s="1"/>
  <c r="D11" i="21" s="1"/>
  <c r="C12" i="21"/>
  <c r="B12" i="21" s="1"/>
  <c r="C13" i="21"/>
  <c r="B13" i="21" s="1"/>
  <c r="C14" i="21"/>
  <c r="B14" i="21" s="1"/>
  <c r="C15" i="21"/>
  <c r="B15" i="21" s="1"/>
  <c r="D15" i="21" s="1"/>
  <c r="C16" i="21"/>
  <c r="B16" i="21" s="1"/>
  <c r="C17" i="21"/>
  <c r="B17" i="21" s="1"/>
  <c r="C18" i="21"/>
  <c r="B18" i="21" s="1"/>
  <c r="C19" i="21"/>
  <c r="B19" i="21" s="1"/>
  <c r="C20" i="21"/>
  <c r="B20" i="21" s="1"/>
  <c r="C21" i="21"/>
  <c r="B21" i="21" s="1"/>
  <c r="C22" i="21"/>
  <c r="B22" i="21" s="1"/>
  <c r="C23" i="21"/>
  <c r="B23" i="21" s="1"/>
  <c r="C24" i="21"/>
  <c r="B24" i="21" s="1"/>
  <c r="C25" i="21"/>
  <c r="B25" i="21" s="1"/>
  <c r="C26" i="21"/>
  <c r="B26" i="21" s="1"/>
  <c r="C27" i="21"/>
  <c r="B27" i="21" s="1"/>
  <c r="C28" i="21"/>
  <c r="B28" i="21" s="1"/>
  <c r="C29" i="21"/>
  <c r="B29" i="21" s="1"/>
  <c r="C30" i="21"/>
  <c r="B30" i="21" s="1"/>
  <c r="C31" i="21"/>
  <c r="B31" i="21" s="1"/>
  <c r="C32" i="21"/>
  <c r="B32" i="21" s="1"/>
  <c r="C33" i="21"/>
  <c r="B33" i="21" s="1"/>
  <c r="C34" i="21"/>
  <c r="B34" i="21" s="1"/>
  <c r="C35" i="21"/>
  <c r="B35" i="21" s="1"/>
  <c r="C36" i="21"/>
  <c r="B36" i="21" s="1"/>
  <c r="C37" i="21"/>
  <c r="B37" i="21" s="1"/>
  <c r="C38" i="21"/>
  <c r="B38" i="21" s="1"/>
  <c r="C39" i="21"/>
  <c r="B39" i="21" s="1"/>
  <c r="C40" i="21"/>
  <c r="B40" i="21" s="1"/>
  <c r="C41" i="21"/>
  <c r="B41" i="21" s="1"/>
  <c r="C42" i="21"/>
  <c r="B42" i="21" s="1"/>
  <c r="C43" i="21"/>
  <c r="B43" i="21" s="1"/>
  <c r="D43" i="21" s="1"/>
  <c r="C44" i="21"/>
  <c r="B44" i="21" s="1"/>
  <c r="C45" i="21"/>
  <c r="B45" i="21" s="1"/>
  <c r="C46" i="21"/>
  <c r="B46" i="21" s="1"/>
  <c r="C47" i="21"/>
  <c r="B47" i="21" s="1"/>
  <c r="D47" i="21" s="1"/>
  <c r="C48" i="21"/>
  <c r="B48" i="21" s="1"/>
  <c r="C49" i="21"/>
  <c r="B49" i="21" s="1"/>
  <c r="C50" i="21"/>
  <c r="B50" i="21" s="1"/>
  <c r="C51" i="21"/>
  <c r="B51" i="21" s="1"/>
  <c r="D51" i="21" s="1"/>
  <c r="C52" i="21"/>
  <c r="B52" i="21" s="1"/>
  <c r="C53" i="21"/>
  <c r="B53" i="21" s="1"/>
  <c r="C54" i="21"/>
  <c r="B54" i="21" s="1"/>
  <c r="C55" i="21"/>
  <c r="B55" i="21" s="1"/>
  <c r="K55" i="21" s="1"/>
  <c r="C56" i="21"/>
  <c r="B56" i="21" s="1"/>
  <c r="C57" i="21"/>
  <c r="B57" i="21" s="1"/>
  <c r="C58" i="21"/>
  <c r="B58" i="21" s="1"/>
  <c r="C59" i="21"/>
  <c r="B59" i="21" s="1"/>
  <c r="K59" i="21" s="1"/>
  <c r="C60" i="21"/>
  <c r="B60" i="21" s="1"/>
  <c r="C61" i="21"/>
  <c r="B61" i="21" s="1"/>
  <c r="C62" i="21"/>
  <c r="B62" i="21" s="1"/>
  <c r="C63" i="21"/>
  <c r="B63" i="21" s="1"/>
  <c r="K63" i="21" s="1"/>
  <c r="C64" i="21"/>
  <c r="B64" i="21" s="1"/>
  <c r="C65" i="21"/>
  <c r="B65" i="21" s="1"/>
  <c r="C66" i="21"/>
  <c r="B66" i="21" s="1"/>
  <c r="C67" i="21"/>
  <c r="B67" i="21" s="1"/>
  <c r="K67" i="21" s="1"/>
  <c r="C68" i="21"/>
  <c r="B68" i="21" s="1"/>
  <c r="C69" i="21"/>
  <c r="B69" i="21" s="1"/>
  <c r="C70" i="21"/>
  <c r="B70" i="21" s="1"/>
  <c r="C71" i="21"/>
  <c r="B71" i="21" s="1"/>
  <c r="K71" i="21" s="1"/>
  <c r="C72" i="21"/>
  <c r="B72" i="21" s="1"/>
  <c r="C73" i="21"/>
  <c r="B73" i="21" s="1"/>
  <c r="C74" i="21"/>
  <c r="B74" i="21" s="1"/>
  <c r="C75" i="21"/>
  <c r="B75" i="21" s="1"/>
  <c r="E75" i="21" s="1"/>
  <c r="C76" i="21"/>
  <c r="B76" i="21" s="1"/>
  <c r="C77" i="21"/>
  <c r="B77" i="21" s="1"/>
  <c r="C78" i="21"/>
  <c r="B78" i="21" s="1"/>
  <c r="C79" i="21"/>
  <c r="B79" i="21" s="1"/>
  <c r="D79" i="21" s="1"/>
  <c r="C80" i="21"/>
  <c r="B80" i="21" s="1"/>
  <c r="C81" i="21"/>
  <c r="B81" i="21" s="1"/>
  <c r="C82" i="21"/>
  <c r="B82" i="21" s="1"/>
  <c r="C83" i="21"/>
  <c r="B83" i="21" s="1"/>
  <c r="K83" i="21" s="1"/>
  <c r="C84" i="21"/>
  <c r="B84" i="21" s="1"/>
  <c r="C85" i="21"/>
  <c r="B85" i="21" s="1"/>
  <c r="C86" i="21"/>
  <c r="B86" i="21" s="1"/>
  <c r="C87" i="21"/>
  <c r="B87" i="21" s="1"/>
  <c r="D87" i="21" s="1"/>
  <c r="C88" i="21"/>
  <c r="B88" i="21" s="1"/>
  <c r="C89" i="21"/>
  <c r="B89" i="21" s="1"/>
  <c r="C90" i="21"/>
  <c r="B90" i="21" s="1"/>
  <c r="C91" i="21"/>
  <c r="B91" i="21" s="1"/>
  <c r="D91" i="21" s="1"/>
  <c r="C92" i="21"/>
  <c r="B92" i="21" s="1"/>
  <c r="C93" i="21"/>
  <c r="B93" i="21" s="1"/>
  <c r="C94" i="21"/>
  <c r="B94" i="21" s="1"/>
  <c r="C95" i="21"/>
  <c r="B95" i="21" s="1"/>
  <c r="D95" i="21" s="1"/>
  <c r="C96" i="21"/>
  <c r="B96" i="21" s="1"/>
  <c r="C97" i="21"/>
  <c r="B97" i="21" s="1"/>
  <c r="C98" i="21"/>
  <c r="B98" i="21" s="1"/>
  <c r="C99" i="21"/>
  <c r="B99" i="21" s="1"/>
  <c r="D99" i="21" s="1"/>
  <c r="C100" i="21"/>
  <c r="B100" i="21" s="1"/>
  <c r="C101" i="21"/>
  <c r="B101" i="21" s="1"/>
  <c r="C102" i="21"/>
  <c r="B102" i="21" s="1"/>
  <c r="C103" i="21"/>
  <c r="B103" i="21" s="1"/>
  <c r="E103" i="21" s="1"/>
  <c r="C104" i="21"/>
  <c r="B104" i="21" s="1"/>
  <c r="C105" i="21"/>
  <c r="B105" i="21" s="1"/>
  <c r="C106" i="21"/>
  <c r="B106" i="21" s="1"/>
  <c r="C107" i="21"/>
  <c r="B107" i="21" s="1"/>
  <c r="E107" i="21" s="1"/>
  <c r="C108" i="21"/>
  <c r="B108" i="21" s="1"/>
  <c r="C109" i="21"/>
  <c r="B109" i="21" s="1"/>
  <c r="C110" i="21"/>
  <c r="B110" i="21" s="1"/>
  <c r="C111" i="21"/>
  <c r="B111" i="21" s="1"/>
  <c r="D111" i="21" s="1"/>
  <c r="C112" i="21"/>
  <c r="B112" i="21" s="1"/>
  <c r="C113" i="21"/>
  <c r="B113" i="21" s="1"/>
  <c r="C114" i="21"/>
  <c r="B114" i="21" s="1"/>
  <c r="C115" i="21"/>
  <c r="B115" i="21" s="1"/>
  <c r="E115" i="21" s="1"/>
  <c r="C116" i="21"/>
  <c r="B116" i="21" s="1"/>
  <c r="C117" i="21"/>
  <c r="B117" i="21" s="1"/>
  <c r="C118" i="21"/>
  <c r="B118" i="21" s="1"/>
  <c r="C119" i="21"/>
  <c r="B119" i="21" s="1"/>
  <c r="K119" i="21" s="1"/>
  <c r="C120" i="21"/>
  <c r="B120" i="21" s="1"/>
  <c r="C121" i="21"/>
  <c r="B121" i="21" s="1"/>
  <c r="C122" i="21"/>
  <c r="B122" i="21" s="1"/>
  <c r="C123" i="21"/>
  <c r="B123" i="21" s="1"/>
  <c r="K123" i="21" s="1"/>
  <c r="C124" i="21"/>
  <c r="B124" i="21" s="1"/>
  <c r="C125" i="21"/>
  <c r="B125" i="21" s="1"/>
  <c r="C126" i="21"/>
  <c r="B126" i="21" s="1"/>
  <c r="C127" i="21"/>
  <c r="B127" i="21" s="1"/>
  <c r="D127" i="21" s="1"/>
  <c r="C128" i="21"/>
  <c r="B128" i="21" s="1"/>
  <c r="C129" i="21"/>
  <c r="B129" i="21" s="1"/>
  <c r="C130" i="21"/>
  <c r="B130" i="21" s="1"/>
  <c r="C131" i="21"/>
  <c r="B131" i="21" s="1"/>
  <c r="K131" i="21" s="1"/>
  <c r="C132" i="21"/>
  <c r="B132" i="21" s="1"/>
  <c r="C133" i="21"/>
  <c r="B133" i="21" s="1"/>
  <c r="C134" i="21"/>
  <c r="B134" i="21" s="1"/>
  <c r="C135" i="21"/>
  <c r="B135" i="21" s="1"/>
  <c r="K135" i="21" s="1"/>
  <c r="C136" i="21"/>
  <c r="B136" i="21" s="1"/>
  <c r="C137" i="21"/>
  <c r="B137" i="21" s="1"/>
  <c r="C138" i="21"/>
  <c r="B138" i="21" s="1"/>
  <c r="C139" i="21"/>
  <c r="B139" i="21" s="1"/>
  <c r="K139" i="21" s="1"/>
  <c r="C140" i="21"/>
  <c r="B140" i="21" s="1"/>
  <c r="C141" i="21"/>
  <c r="B141" i="21" s="1"/>
  <c r="C142" i="21"/>
  <c r="B142" i="21" s="1"/>
  <c r="C143" i="21"/>
  <c r="B143" i="21" s="1"/>
  <c r="C144" i="21"/>
  <c r="B144" i="21" s="1"/>
  <c r="C145" i="21"/>
  <c r="B145" i="21" s="1"/>
  <c r="C146" i="21"/>
  <c r="B146" i="21" s="1"/>
  <c r="C147" i="21"/>
  <c r="B147" i="21" s="1"/>
  <c r="K147" i="21" s="1"/>
  <c r="C148" i="21"/>
  <c r="B148" i="21" s="1"/>
  <c r="C149" i="21"/>
  <c r="B149" i="21" s="1"/>
  <c r="C150" i="21"/>
  <c r="B150" i="21" s="1"/>
  <c r="C151" i="21"/>
  <c r="B151" i="21" s="1"/>
  <c r="K151" i="21" s="1"/>
  <c r="C152" i="21"/>
  <c r="B152" i="21" s="1"/>
  <c r="C153" i="21"/>
  <c r="B153" i="21" s="1"/>
  <c r="C154" i="21"/>
  <c r="B154" i="21" s="1"/>
  <c r="C155" i="21"/>
  <c r="B155" i="21" s="1"/>
  <c r="E155" i="21" s="1"/>
  <c r="C156" i="21"/>
  <c r="B156" i="21" s="1"/>
  <c r="C157" i="21"/>
  <c r="B157" i="21" s="1"/>
  <c r="C158" i="21"/>
  <c r="B158" i="21" s="1"/>
  <c r="C159" i="21"/>
  <c r="B159" i="21" s="1"/>
  <c r="K159" i="21" s="1"/>
  <c r="C160" i="21"/>
  <c r="B160" i="21" s="1"/>
  <c r="C161" i="21"/>
  <c r="B161" i="21" s="1"/>
  <c r="C162" i="21"/>
  <c r="B162" i="21" s="1"/>
  <c r="C163" i="21"/>
  <c r="B163" i="21" s="1"/>
  <c r="D163" i="21" s="1"/>
  <c r="C164" i="21"/>
  <c r="B164" i="21" s="1"/>
  <c r="C165" i="21"/>
  <c r="B165" i="21" s="1"/>
  <c r="C166" i="21"/>
  <c r="B166" i="21" s="1"/>
  <c r="C167" i="21"/>
  <c r="B167" i="21" s="1"/>
  <c r="D167" i="21" s="1"/>
  <c r="C168" i="21"/>
  <c r="B168" i="21" s="1"/>
  <c r="C169" i="21"/>
  <c r="B169" i="21" s="1"/>
  <c r="C170" i="21"/>
  <c r="B170" i="21" s="1"/>
  <c r="C171" i="21"/>
  <c r="B171" i="21" s="1"/>
  <c r="E171" i="21" s="1"/>
  <c r="C172" i="21"/>
  <c r="B172" i="21" s="1"/>
  <c r="C173" i="21"/>
  <c r="B173" i="21" s="1"/>
  <c r="C174" i="21"/>
  <c r="B174" i="21" s="1"/>
  <c r="C175" i="21"/>
  <c r="B175" i="21" s="1"/>
  <c r="C176" i="21"/>
  <c r="B176" i="21" s="1"/>
  <c r="C177" i="21"/>
  <c r="B177" i="21" s="1"/>
  <c r="C178" i="21"/>
  <c r="B178" i="21" s="1"/>
  <c r="C179" i="21"/>
  <c r="B179" i="21" s="1"/>
  <c r="D179" i="21" s="1"/>
  <c r="C180" i="21"/>
  <c r="B180" i="21" s="1"/>
  <c r="C181" i="21"/>
  <c r="B181" i="21" s="1"/>
  <c r="C182" i="21"/>
  <c r="B182" i="21" s="1"/>
  <c r="C183" i="21"/>
  <c r="B183" i="21" s="1"/>
  <c r="E183" i="21" s="1"/>
  <c r="C184" i="21"/>
  <c r="B184" i="21" s="1"/>
  <c r="C185" i="21"/>
  <c r="B185" i="21" s="1"/>
  <c r="C186" i="21"/>
  <c r="B186" i="21" s="1"/>
  <c r="C187" i="21"/>
  <c r="B187" i="21" s="1"/>
  <c r="E187" i="21" s="1"/>
  <c r="C188" i="21"/>
  <c r="B188" i="21" s="1"/>
  <c r="C189" i="21"/>
  <c r="B189" i="21" s="1"/>
  <c r="C190" i="21"/>
  <c r="B190" i="21" s="1"/>
  <c r="C191" i="21"/>
  <c r="B191" i="21" s="1"/>
  <c r="C192" i="21"/>
  <c r="B192" i="21" s="1"/>
  <c r="C193" i="21"/>
  <c r="B193" i="21" s="1"/>
  <c r="C194" i="21"/>
  <c r="B194" i="21" s="1"/>
  <c r="C195" i="21"/>
  <c r="B195" i="21" s="1"/>
  <c r="E195" i="21" s="1"/>
  <c r="C196" i="21"/>
  <c r="B196" i="21" s="1"/>
  <c r="C197" i="21"/>
  <c r="B197" i="21" s="1"/>
  <c r="C198" i="21"/>
  <c r="B198" i="21" s="1"/>
  <c r="C199" i="21"/>
  <c r="B199" i="21" s="1"/>
  <c r="E199" i="21" s="1"/>
  <c r="C200" i="21"/>
  <c r="B200" i="21" s="1"/>
  <c r="C201" i="21"/>
  <c r="B201" i="21" s="1"/>
  <c r="C202" i="21"/>
  <c r="B202" i="21" s="1"/>
  <c r="C203" i="21"/>
  <c r="B203" i="21" s="1"/>
  <c r="D203" i="21" s="1"/>
  <c r="C204" i="21"/>
  <c r="B204" i="21" s="1"/>
  <c r="C205" i="21"/>
  <c r="B205" i="21" s="1"/>
  <c r="C206" i="21"/>
  <c r="B206" i="21" s="1"/>
  <c r="C207" i="21"/>
  <c r="B207" i="21" s="1"/>
  <c r="E207" i="21" s="1"/>
  <c r="C208" i="21"/>
  <c r="B208" i="21" s="1"/>
  <c r="C209" i="21"/>
  <c r="B209" i="21" s="1"/>
  <c r="C210" i="21"/>
  <c r="B210" i="21" s="1"/>
  <c r="E139" i="21"/>
  <c r="D10" i="21"/>
  <c r="K10" i="21"/>
  <c r="D210" i="21" l="1"/>
  <c r="D206" i="21"/>
  <c r="E202" i="21"/>
  <c r="F202" i="21" s="1"/>
  <c r="H202" i="21" s="1"/>
  <c r="D198" i="21"/>
  <c r="K194" i="21"/>
  <c r="K190" i="21"/>
  <c r="E186" i="21"/>
  <c r="G186" i="21" s="1"/>
  <c r="D182" i="21"/>
  <c r="D178" i="21"/>
  <c r="K174" i="21"/>
  <c r="D170" i="21"/>
  <c r="E166" i="21"/>
  <c r="K162" i="21"/>
  <c r="K158" i="21"/>
  <c r="K150" i="21"/>
  <c r="D146" i="21"/>
  <c r="E142" i="21"/>
  <c r="D138" i="21"/>
  <c r="K134" i="21"/>
  <c r="D130" i="21"/>
  <c r="K126" i="21"/>
  <c r="E122" i="21"/>
  <c r="G122" i="21" s="1"/>
  <c r="D118" i="21"/>
  <c r="K114" i="21"/>
  <c r="K110" i="21"/>
  <c r="K106" i="21"/>
  <c r="D98" i="21"/>
  <c r="J98" i="21" s="1"/>
  <c r="E90" i="21"/>
  <c r="E86" i="21"/>
  <c r="D82" i="21"/>
  <c r="D74" i="21"/>
  <c r="D70" i="21"/>
  <c r="E66" i="21"/>
  <c r="K62" i="21"/>
  <c r="K54" i="21"/>
  <c r="K50" i="21"/>
  <c r="K42" i="21"/>
  <c r="D34" i="21"/>
  <c r="J34" i="21" s="1"/>
  <c r="D30" i="21"/>
  <c r="J30" i="21" s="1"/>
  <c r="E26" i="21"/>
  <c r="K22" i="21"/>
  <c r="K43" i="21"/>
  <c r="E98" i="21"/>
  <c r="G98" i="21" s="1"/>
  <c r="D107" i="21"/>
  <c r="D139" i="21"/>
  <c r="K178" i="21"/>
  <c r="D147" i="21"/>
  <c r="E83" i="21"/>
  <c r="F83" i="21" s="1"/>
  <c r="H83" i="21" s="1"/>
  <c r="M83" i="21" s="1"/>
  <c r="K87" i="21"/>
  <c r="D59" i="21"/>
  <c r="E87" i="21"/>
  <c r="G87" i="21" s="1"/>
  <c r="D194" i="21"/>
  <c r="K142" i="21"/>
  <c r="E190" i="21"/>
  <c r="F190" i="21" s="1"/>
  <c r="H190" i="21" s="1"/>
  <c r="M190" i="21" s="1"/>
  <c r="D39" i="21"/>
  <c r="D35" i="21"/>
  <c r="K27" i="21"/>
  <c r="E23" i="21"/>
  <c r="F23" i="21" s="1"/>
  <c r="H23" i="21" s="1"/>
  <c r="E15" i="21"/>
  <c r="F15" i="21" s="1"/>
  <c r="H15" i="21" s="1"/>
  <c r="D122" i="21"/>
  <c r="E146" i="21"/>
  <c r="G146" i="21" s="1"/>
  <c r="D162" i="21"/>
  <c r="J162" i="21" s="1"/>
  <c r="E42" i="21"/>
  <c r="G42" i="21" s="1"/>
  <c r="D195" i="21"/>
  <c r="J194" i="21" s="1"/>
  <c r="K203" i="21"/>
  <c r="K75" i="21"/>
  <c r="K107" i="21"/>
  <c r="K23" i="21"/>
  <c r="K130" i="21"/>
  <c r="K170" i="21"/>
  <c r="E54" i="21"/>
  <c r="G54" i="21" s="1"/>
  <c r="E126" i="21"/>
  <c r="G126" i="21" s="1"/>
  <c r="E179" i="21"/>
  <c r="G179" i="21" s="1"/>
  <c r="E208" i="21"/>
  <c r="G208" i="21" s="1"/>
  <c r="K192" i="21"/>
  <c r="K176" i="21"/>
  <c r="K160" i="21"/>
  <c r="K152" i="21"/>
  <c r="D144" i="21"/>
  <c r="K136" i="21"/>
  <c r="D128" i="21"/>
  <c r="J127" i="21" s="1"/>
  <c r="K116" i="21"/>
  <c r="D108" i="21"/>
  <c r="E104" i="21"/>
  <c r="F104" i="21" s="1"/>
  <c r="H104" i="21" s="1"/>
  <c r="K96" i="21"/>
  <c r="E88" i="21"/>
  <c r="G88" i="21" s="1"/>
  <c r="K76" i="21"/>
  <c r="D68" i="21"/>
  <c r="E60" i="21"/>
  <c r="F60" i="21" s="1"/>
  <c r="H60" i="21" s="1"/>
  <c r="K44" i="21"/>
  <c r="K28" i="21"/>
  <c r="K16" i="21"/>
  <c r="K90" i="21"/>
  <c r="D155" i="21"/>
  <c r="K165" i="21"/>
  <c r="D110" i="21"/>
  <c r="J110" i="21" s="1"/>
  <c r="D150" i="21"/>
  <c r="K186" i="21"/>
  <c r="K179" i="21"/>
  <c r="E170" i="21"/>
  <c r="G170" i="21" s="1"/>
  <c r="E43" i="21"/>
  <c r="F43" i="21" s="1"/>
  <c r="H43" i="21" s="1"/>
  <c r="D75" i="21"/>
  <c r="D135" i="21"/>
  <c r="K11" i="21"/>
  <c r="D83" i="21"/>
  <c r="E135" i="21"/>
  <c r="F135" i="21" s="1"/>
  <c r="H135" i="21" s="1"/>
  <c r="M135" i="21" s="1"/>
  <c r="E39" i="21"/>
  <c r="G39" i="21" s="1"/>
  <c r="E167" i="21"/>
  <c r="F167" i="21" s="1"/>
  <c r="H167" i="21" s="1"/>
  <c r="E153" i="21"/>
  <c r="G153" i="21" s="1"/>
  <c r="E106" i="21"/>
  <c r="G106" i="21" s="1"/>
  <c r="K102" i="21"/>
  <c r="K98" i="21"/>
  <c r="E94" i="21"/>
  <c r="G94" i="21" s="1"/>
  <c r="D90" i="21"/>
  <c r="J90" i="21" s="1"/>
  <c r="D86" i="21"/>
  <c r="J86" i="21" s="1"/>
  <c r="K82" i="21"/>
  <c r="K78" i="21"/>
  <c r="K74" i="21"/>
  <c r="K70" i="21"/>
  <c r="D66" i="21"/>
  <c r="E62" i="21"/>
  <c r="F62" i="21" s="1"/>
  <c r="H62" i="21" s="1"/>
  <c r="D58" i="21"/>
  <c r="D54" i="21"/>
  <c r="D50" i="21"/>
  <c r="J50" i="21" s="1"/>
  <c r="E46" i="21"/>
  <c r="F46" i="21" s="1"/>
  <c r="H46" i="21" s="1"/>
  <c r="D42" i="21"/>
  <c r="J42" i="21" s="1"/>
  <c r="E38" i="21"/>
  <c r="F38" i="21" s="1"/>
  <c r="H38" i="21" s="1"/>
  <c r="K34" i="21"/>
  <c r="E30" i="21"/>
  <c r="G30" i="21" s="1"/>
  <c r="K26" i="21"/>
  <c r="D22" i="21"/>
  <c r="D18" i="21"/>
  <c r="K14" i="21"/>
  <c r="D192" i="21"/>
  <c r="K202" i="21"/>
  <c r="K111" i="21"/>
  <c r="K206" i="21"/>
  <c r="E147" i="21"/>
  <c r="G147" i="21" s="1"/>
  <c r="E210" i="21"/>
  <c r="F210" i="21" s="1"/>
  <c r="H210" i="21" s="1"/>
  <c r="K30" i="21"/>
  <c r="D38" i="21"/>
  <c r="K58" i="21"/>
  <c r="D78" i="21"/>
  <c r="J78" i="21" s="1"/>
  <c r="D102" i="21"/>
  <c r="D126" i="21"/>
  <c r="J126" i="21" s="1"/>
  <c r="D158" i="21"/>
  <c r="D174" i="21"/>
  <c r="D190" i="21"/>
  <c r="D154" i="21"/>
  <c r="E18" i="21"/>
  <c r="F18" i="21" s="1"/>
  <c r="H18" i="21" s="1"/>
  <c r="E70" i="21"/>
  <c r="F70" i="21" s="1"/>
  <c r="H70" i="21" s="1"/>
  <c r="M70" i="21" s="1"/>
  <c r="E102" i="21"/>
  <c r="G102" i="21" s="1"/>
  <c r="E130" i="21"/>
  <c r="F130" i="21" s="1"/>
  <c r="H130" i="21" s="1"/>
  <c r="M130" i="21" s="1"/>
  <c r="E150" i="21"/>
  <c r="G150" i="21" s="1"/>
  <c r="E174" i="21"/>
  <c r="G174" i="21" s="1"/>
  <c r="E198" i="21"/>
  <c r="G198" i="21" s="1"/>
  <c r="E14" i="21"/>
  <c r="F14" i="21" s="1"/>
  <c r="H14" i="21" s="1"/>
  <c r="M14" i="21" s="1"/>
  <c r="D141" i="21"/>
  <c r="K113" i="21"/>
  <c r="D73" i="21"/>
  <c r="D65" i="21"/>
  <c r="D49" i="21"/>
  <c r="K25" i="21"/>
  <c r="D48" i="21"/>
  <c r="J47" i="21" s="1"/>
  <c r="K210" i="21"/>
  <c r="K86" i="21"/>
  <c r="K46" i="21"/>
  <c r="K66" i="21"/>
  <c r="K94" i="21"/>
  <c r="K118" i="21"/>
  <c r="K138" i="21"/>
  <c r="K146" i="21"/>
  <c r="K166" i="21"/>
  <c r="K182" i="21"/>
  <c r="K198" i="21"/>
  <c r="D14" i="21"/>
  <c r="J14" i="21" s="1"/>
  <c r="D114" i="21"/>
  <c r="D134" i="21"/>
  <c r="K154" i="21"/>
  <c r="E34" i="21"/>
  <c r="G34" i="21" s="1"/>
  <c r="E22" i="21"/>
  <c r="G22" i="21" s="1"/>
  <c r="E50" i="21"/>
  <c r="F50" i="21" s="1"/>
  <c r="H50" i="21" s="1"/>
  <c r="E82" i="21"/>
  <c r="G82" i="21" s="1"/>
  <c r="E118" i="21"/>
  <c r="G118" i="21" s="1"/>
  <c r="E138" i="21"/>
  <c r="G138" i="21" s="1"/>
  <c r="E162" i="21"/>
  <c r="G162" i="21" s="1"/>
  <c r="E182" i="21"/>
  <c r="F182" i="21" s="1"/>
  <c r="H182" i="21" s="1"/>
  <c r="E74" i="21"/>
  <c r="F74" i="21" s="1"/>
  <c r="H74" i="21" s="1"/>
  <c r="E134" i="21"/>
  <c r="G134" i="21" s="1"/>
  <c r="E78" i="21"/>
  <c r="F78" i="21" s="1"/>
  <c r="H78" i="21" s="1"/>
  <c r="K31" i="21"/>
  <c r="D23" i="21"/>
  <c r="K19" i="21"/>
  <c r="K15" i="21"/>
  <c r="K18" i="21"/>
  <c r="D46" i="21"/>
  <c r="J46" i="21" s="1"/>
  <c r="D94" i="21"/>
  <c r="J94" i="21" s="1"/>
  <c r="D166" i="21"/>
  <c r="J166" i="21" s="1"/>
  <c r="E114" i="21"/>
  <c r="F114" i="21" s="1"/>
  <c r="H114" i="21" s="1"/>
  <c r="E89" i="21"/>
  <c r="G89" i="21" s="1"/>
  <c r="K205" i="21"/>
  <c r="D197" i="21"/>
  <c r="J197" i="21" s="1"/>
  <c r="K61" i="21"/>
  <c r="D26" i="21"/>
  <c r="K38" i="21"/>
  <c r="D62" i="21"/>
  <c r="K122" i="21"/>
  <c r="D142" i="21"/>
  <c r="D186" i="21"/>
  <c r="D202" i="21"/>
  <c r="D106" i="21"/>
  <c r="E206" i="21"/>
  <c r="G206" i="21" s="1"/>
  <c r="E194" i="21"/>
  <c r="G194" i="21" s="1"/>
  <c r="E178" i="21"/>
  <c r="G178" i="21" s="1"/>
  <c r="E158" i="21"/>
  <c r="F158" i="21" s="1"/>
  <c r="H158" i="21" s="1"/>
  <c r="M158" i="21" s="1"/>
  <c r="E154" i="21"/>
  <c r="G154" i="21" s="1"/>
  <c r="E110" i="21"/>
  <c r="G110" i="21" s="1"/>
  <c r="E58" i="21"/>
  <c r="G58" i="21" s="1"/>
  <c r="D200" i="21"/>
  <c r="E201" i="21"/>
  <c r="F201" i="21" s="1"/>
  <c r="H201" i="21" s="1"/>
  <c r="K200" i="21"/>
  <c r="E184" i="21"/>
  <c r="G184" i="21" s="1"/>
  <c r="D184" i="21"/>
  <c r="E185" i="21"/>
  <c r="G185" i="21" s="1"/>
  <c r="K184" i="21"/>
  <c r="E180" i="21"/>
  <c r="G180" i="21" s="1"/>
  <c r="D181" i="21"/>
  <c r="J181" i="21" s="1"/>
  <c r="E173" i="21"/>
  <c r="F173" i="21" s="1"/>
  <c r="H173" i="21" s="1"/>
  <c r="K173" i="21"/>
  <c r="E172" i="21"/>
  <c r="G172" i="21" s="1"/>
  <c r="E168" i="21"/>
  <c r="F168" i="21" s="1"/>
  <c r="H168" i="21" s="1"/>
  <c r="K168" i="21"/>
  <c r="D168" i="21"/>
  <c r="J167" i="21" s="1"/>
  <c r="E164" i="21"/>
  <c r="G164" i="21" s="1"/>
  <c r="E165" i="21"/>
  <c r="F165" i="21" s="1"/>
  <c r="H165" i="21" s="1"/>
  <c r="M165" i="21" s="1"/>
  <c r="E157" i="21"/>
  <c r="G157" i="21" s="1"/>
  <c r="K156" i="21"/>
  <c r="E132" i="21"/>
  <c r="G132" i="21" s="1"/>
  <c r="E133" i="21"/>
  <c r="F133" i="21" s="1"/>
  <c r="H133" i="21" s="1"/>
  <c r="D124" i="21"/>
  <c r="K125" i="21"/>
  <c r="E121" i="21"/>
  <c r="G121" i="21" s="1"/>
  <c r="D121" i="21"/>
  <c r="D120" i="21"/>
  <c r="D81" i="21"/>
  <c r="D80" i="21"/>
  <c r="J79" i="21" s="1"/>
  <c r="K41" i="21"/>
  <c r="D40" i="21"/>
  <c r="K37" i="21"/>
  <c r="K36" i="21"/>
  <c r="E20" i="21"/>
  <c r="F20" i="21" s="1"/>
  <c r="H20" i="21" s="1"/>
  <c r="K20" i="21"/>
  <c r="E13" i="21"/>
  <c r="G13" i="21" s="1"/>
  <c r="D13" i="21"/>
  <c r="K21" i="21"/>
  <c r="D60" i="21"/>
  <c r="D209" i="21"/>
  <c r="J209" i="21" s="1"/>
  <c r="K109" i="21"/>
  <c r="E21" i="21"/>
  <c r="F21" i="21" s="1"/>
  <c r="H21" i="21" s="1"/>
  <c r="M21" i="21" s="1"/>
  <c r="D205" i="21"/>
  <c r="K24" i="21"/>
  <c r="D64" i="21"/>
  <c r="D160" i="21"/>
  <c r="D20" i="21"/>
  <c r="K105" i="21"/>
  <c r="D176" i="21"/>
  <c r="D133" i="21"/>
  <c r="E81" i="21"/>
  <c r="G81" i="21" s="1"/>
  <c r="E128" i="21"/>
  <c r="G128" i="21" s="1"/>
  <c r="E196" i="21"/>
  <c r="G196" i="21" s="1"/>
  <c r="E197" i="21"/>
  <c r="F197" i="21" s="1"/>
  <c r="H197" i="21" s="1"/>
  <c r="E189" i="21"/>
  <c r="G189" i="21" s="1"/>
  <c r="D189" i="21"/>
  <c r="D153" i="21"/>
  <c r="D152" i="21"/>
  <c r="K153" i="21"/>
  <c r="E148" i="21"/>
  <c r="F148" i="21" s="1"/>
  <c r="H148" i="21" s="1"/>
  <c r="K148" i="21"/>
  <c r="E101" i="21"/>
  <c r="F101" i="21" s="1"/>
  <c r="H101" i="21" s="1"/>
  <c r="K100" i="21"/>
  <c r="D92" i="21"/>
  <c r="D93" i="21"/>
  <c r="E85" i="21"/>
  <c r="F85" i="21" s="1"/>
  <c r="H85" i="21" s="1"/>
  <c r="K84" i="21"/>
  <c r="D61" i="21"/>
  <c r="E61" i="21"/>
  <c r="F61" i="21" s="1"/>
  <c r="H61" i="21" s="1"/>
  <c r="D53" i="21"/>
  <c r="E52" i="21"/>
  <c r="G52" i="21" s="1"/>
  <c r="K53" i="21"/>
  <c r="K52" i="21"/>
  <c r="D44" i="21"/>
  <c r="J43" i="21" s="1"/>
  <c r="E45" i="21"/>
  <c r="F45" i="21" s="1"/>
  <c r="H45" i="21" s="1"/>
  <c r="K45" i="21"/>
  <c r="E17" i="21"/>
  <c r="G17" i="21" s="1"/>
  <c r="E16" i="21"/>
  <c r="G16" i="21" s="1"/>
  <c r="D16" i="21"/>
  <c r="J15" i="21" s="1"/>
  <c r="K17" i="21"/>
  <c r="K77" i="21"/>
  <c r="K103" i="21"/>
  <c r="K115" i="21"/>
  <c r="D31" i="21"/>
  <c r="D63" i="21"/>
  <c r="K127" i="21"/>
  <c r="D151" i="21"/>
  <c r="K163" i="21"/>
  <c r="D187" i="21"/>
  <c r="D103" i="21"/>
  <c r="J102" i="21" s="1"/>
  <c r="D115" i="21"/>
  <c r="K207" i="21"/>
  <c r="K39" i="21"/>
  <c r="K79" i="21"/>
  <c r="K167" i="21"/>
  <c r="K195" i="21"/>
  <c r="E31" i="21"/>
  <c r="F31" i="21" s="1"/>
  <c r="H31" i="21" s="1"/>
  <c r="E79" i="21"/>
  <c r="G79" i="21" s="1"/>
  <c r="E131" i="21"/>
  <c r="F131" i="21" s="1"/>
  <c r="H131" i="21" s="1"/>
  <c r="M131" i="21" s="1"/>
  <c r="K155" i="21"/>
  <c r="E11" i="21"/>
  <c r="F11" i="21" s="1"/>
  <c r="H11" i="21" s="1"/>
  <c r="E203" i="21"/>
  <c r="G203" i="21" s="1"/>
  <c r="E63" i="21"/>
  <c r="G63" i="21" s="1"/>
  <c r="E127" i="21"/>
  <c r="F127" i="21" s="1"/>
  <c r="H127" i="21" s="1"/>
  <c r="E151" i="21"/>
  <c r="F151" i="21" s="1"/>
  <c r="H151" i="21" s="1"/>
  <c r="M151" i="21" s="1"/>
  <c r="E204" i="21"/>
  <c r="F204" i="21" s="1"/>
  <c r="H204" i="21" s="1"/>
  <c r="E205" i="21"/>
  <c r="G205" i="21" s="1"/>
  <c r="D169" i="21"/>
  <c r="K169" i="21"/>
  <c r="E160" i="21"/>
  <c r="F160" i="21" s="1"/>
  <c r="H160" i="21" s="1"/>
  <c r="D161" i="21"/>
  <c r="E161" i="21"/>
  <c r="G161" i="21" s="1"/>
  <c r="K161" i="21"/>
  <c r="E156" i="21"/>
  <c r="G156" i="21" s="1"/>
  <c r="K157" i="21"/>
  <c r="D156" i="21"/>
  <c r="E140" i="21"/>
  <c r="F140" i="21" s="1"/>
  <c r="H140" i="21" s="1"/>
  <c r="E141" i="21"/>
  <c r="G141" i="21" s="1"/>
  <c r="K140" i="21"/>
  <c r="K133" i="21"/>
  <c r="D132" i="21"/>
  <c r="K129" i="21"/>
  <c r="E129" i="21"/>
  <c r="F129" i="21" s="1"/>
  <c r="H129" i="21" s="1"/>
  <c r="E125" i="21"/>
  <c r="F125" i="21" s="1"/>
  <c r="H125" i="21" s="1"/>
  <c r="E124" i="21"/>
  <c r="G124" i="21" s="1"/>
  <c r="D125" i="21"/>
  <c r="J124" i="21" s="1"/>
  <c r="E116" i="21"/>
  <c r="G116" i="21" s="1"/>
  <c r="K117" i="21"/>
  <c r="K112" i="21"/>
  <c r="E113" i="21"/>
  <c r="G113" i="21" s="1"/>
  <c r="E112" i="21"/>
  <c r="F112" i="21" s="1"/>
  <c r="H112" i="21" s="1"/>
  <c r="E109" i="21"/>
  <c r="G109" i="21" s="1"/>
  <c r="E108" i="21"/>
  <c r="G108" i="21" s="1"/>
  <c r="K108" i="21"/>
  <c r="D105" i="21"/>
  <c r="D104" i="21"/>
  <c r="E100" i="21"/>
  <c r="F100" i="21" s="1"/>
  <c r="H100" i="21" s="1"/>
  <c r="D101" i="21"/>
  <c r="E96" i="21"/>
  <c r="F96" i="21" s="1"/>
  <c r="H96" i="21" s="1"/>
  <c r="K97" i="21"/>
  <c r="E97" i="21"/>
  <c r="G97" i="21" s="1"/>
  <c r="E92" i="21"/>
  <c r="G92" i="21" s="1"/>
  <c r="K93" i="21"/>
  <c r="K89" i="21"/>
  <c r="K88" i="21"/>
  <c r="K85" i="21"/>
  <c r="E84" i="21"/>
  <c r="G84" i="21" s="1"/>
  <c r="D85" i="21"/>
  <c r="E80" i="21"/>
  <c r="F80" i="21" s="1"/>
  <c r="H80" i="21" s="1"/>
  <c r="K81" i="21"/>
  <c r="E77" i="21"/>
  <c r="G77" i="21" s="1"/>
  <c r="D76" i="21"/>
  <c r="D72" i="21"/>
  <c r="E72" i="21"/>
  <c r="G72" i="21" s="1"/>
  <c r="E69" i="21"/>
  <c r="F69" i="21" s="1"/>
  <c r="H69" i="21" s="1"/>
  <c r="E68" i="21"/>
  <c r="F68" i="21" s="1"/>
  <c r="H68" i="21" s="1"/>
  <c r="D69" i="21"/>
  <c r="J69" i="21" s="1"/>
  <c r="E64" i="21"/>
  <c r="F64" i="21" s="1"/>
  <c r="H64" i="21" s="1"/>
  <c r="K65" i="21"/>
  <c r="E56" i="21"/>
  <c r="G56" i="21" s="1"/>
  <c r="K57" i="21"/>
  <c r="D56" i="21"/>
  <c r="E57" i="21"/>
  <c r="F57" i="21" s="1"/>
  <c r="H57" i="21" s="1"/>
  <c r="D57" i="21"/>
  <c r="E49" i="21"/>
  <c r="G49" i="21" s="1"/>
  <c r="K49" i="21"/>
  <c r="E48" i="21"/>
  <c r="F48" i="21" s="1"/>
  <c r="H48" i="21" s="1"/>
  <c r="K33" i="21"/>
  <c r="K32" i="21"/>
  <c r="E33" i="21"/>
  <c r="G33" i="21" s="1"/>
  <c r="D32" i="21"/>
  <c r="E29" i="21"/>
  <c r="F29" i="21" s="1"/>
  <c r="H29" i="21" s="1"/>
  <c r="D29" i="21"/>
  <c r="E24" i="21"/>
  <c r="G24" i="21" s="1"/>
  <c r="E25" i="21"/>
  <c r="F25" i="21" s="1"/>
  <c r="H25" i="21" s="1"/>
  <c r="D25" i="21"/>
  <c r="K60" i="21"/>
  <c r="K124" i="21"/>
  <c r="K172" i="21"/>
  <c r="K180" i="21"/>
  <c r="K188" i="21"/>
  <c r="K196" i="21"/>
  <c r="K204" i="21"/>
  <c r="D97" i="21"/>
  <c r="D129" i="21"/>
  <c r="D157" i="21"/>
  <c r="K189" i="21"/>
  <c r="K104" i="21"/>
  <c r="D140" i="21"/>
  <c r="E105" i="21"/>
  <c r="G105" i="21" s="1"/>
  <c r="E169" i="21"/>
  <c r="F169" i="21" s="1"/>
  <c r="H169" i="21" s="1"/>
  <c r="E73" i="21"/>
  <c r="G73" i="21" s="1"/>
  <c r="E152" i="21"/>
  <c r="F152" i="21" s="1"/>
  <c r="H152" i="21" s="1"/>
  <c r="D199" i="21"/>
  <c r="J198" i="21" s="1"/>
  <c r="K199" i="21"/>
  <c r="K191" i="21"/>
  <c r="E191" i="21"/>
  <c r="F191" i="21" s="1"/>
  <c r="H191" i="21" s="1"/>
  <c r="D191" i="21"/>
  <c r="J191" i="21" s="1"/>
  <c r="D183" i="21"/>
  <c r="K183" i="21"/>
  <c r="D175" i="21"/>
  <c r="E175" i="21"/>
  <c r="F175" i="21" s="1"/>
  <c r="H175" i="21" s="1"/>
  <c r="K175" i="21"/>
  <c r="E159" i="21"/>
  <c r="G159" i="21" s="1"/>
  <c r="D159" i="21"/>
  <c r="E143" i="21"/>
  <c r="F143" i="21" s="1"/>
  <c r="H143" i="21" s="1"/>
  <c r="D143" i="21"/>
  <c r="D123" i="21"/>
  <c r="E123" i="21"/>
  <c r="F123" i="21" s="1"/>
  <c r="H123" i="21" s="1"/>
  <c r="M123" i="21" s="1"/>
  <c r="E119" i="21"/>
  <c r="F119" i="21" s="1"/>
  <c r="H119" i="21" s="1"/>
  <c r="M119" i="21" s="1"/>
  <c r="D119" i="21"/>
  <c r="K99" i="21"/>
  <c r="E99" i="21"/>
  <c r="G99" i="21" s="1"/>
  <c r="E95" i="21"/>
  <c r="G95" i="21" s="1"/>
  <c r="K95" i="21"/>
  <c r="E91" i="21"/>
  <c r="F91" i="21" s="1"/>
  <c r="H91" i="21" s="1"/>
  <c r="K91" i="21"/>
  <c r="E71" i="21"/>
  <c r="F71" i="21" s="1"/>
  <c r="H71" i="21" s="1"/>
  <c r="M71" i="21" s="1"/>
  <c r="D71" i="21"/>
  <c r="J70" i="21" s="1"/>
  <c r="E67" i="21"/>
  <c r="F67" i="21" s="1"/>
  <c r="H67" i="21" s="1"/>
  <c r="M67" i="21" s="1"/>
  <c r="D67" i="21"/>
  <c r="E55" i="21"/>
  <c r="G55" i="21" s="1"/>
  <c r="D55" i="21"/>
  <c r="K51" i="21"/>
  <c r="E51" i="21"/>
  <c r="G51" i="21" s="1"/>
  <c r="E47" i="21"/>
  <c r="G47" i="21" s="1"/>
  <c r="K47" i="21"/>
  <c r="E35" i="21"/>
  <c r="F35" i="21" s="1"/>
  <c r="H35" i="21" s="1"/>
  <c r="K35" i="21"/>
  <c r="D27" i="21"/>
  <c r="J26" i="21" s="1"/>
  <c r="E27" i="21"/>
  <c r="G27" i="21" s="1"/>
  <c r="E19" i="21"/>
  <c r="G19" i="21" s="1"/>
  <c r="D19" i="21"/>
  <c r="E209" i="21"/>
  <c r="G209" i="21" s="1"/>
  <c r="K209" i="21"/>
  <c r="D208" i="21"/>
  <c r="K208" i="21"/>
  <c r="D201" i="21"/>
  <c r="E200" i="21"/>
  <c r="F200" i="21" s="1"/>
  <c r="H200" i="21" s="1"/>
  <c r="K201" i="21"/>
  <c r="E192" i="21"/>
  <c r="G192" i="21" s="1"/>
  <c r="D193" i="21"/>
  <c r="E193" i="21"/>
  <c r="F193" i="21" s="1"/>
  <c r="H193" i="21" s="1"/>
  <c r="K193" i="21"/>
  <c r="K185" i="21"/>
  <c r="D185" i="21"/>
  <c r="E176" i="21"/>
  <c r="F176" i="21" s="1"/>
  <c r="H176" i="21" s="1"/>
  <c r="K177" i="21"/>
  <c r="E177" i="21"/>
  <c r="G177" i="21" s="1"/>
  <c r="D177" i="21"/>
  <c r="E144" i="21"/>
  <c r="F144" i="21" s="1"/>
  <c r="H144" i="21" s="1"/>
  <c r="D145" i="21"/>
  <c r="E145" i="21"/>
  <c r="F145" i="21" s="1"/>
  <c r="H145" i="21" s="1"/>
  <c r="K145" i="21"/>
  <c r="E136" i="21"/>
  <c r="F136" i="21" s="1"/>
  <c r="H136" i="21" s="1"/>
  <c r="K137" i="21"/>
  <c r="D137" i="21"/>
  <c r="J137" i="21" s="1"/>
  <c r="E120" i="21"/>
  <c r="F120" i="21" s="1"/>
  <c r="H120" i="21" s="1"/>
  <c r="K121" i="21"/>
  <c r="E44" i="21"/>
  <c r="G44" i="21" s="1"/>
  <c r="D45" i="21"/>
  <c r="E37" i="21"/>
  <c r="G37" i="21" s="1"/>
  <c r="E36" i="21"/>
  <c r="G36" i="21" s="1"/>
  <c r="D12" i="21"/>
  <c r="J11" i="21" s="1"/>
  <c r="K12" i="21"/>
  <c r="D21" i="21"/>
  <c r="D37" i="21"/>
  <c r="D52" i="21"/>
  <c r="J51" i="21" s="1"/>
  <c r="K68" i="21"/>
  <c r="D84" i="21"/>
  <c r="D100" i="21"/>
  <c r="J99" i="21" s="1"/>
  <c r="D116" i="21"/>
  <c r="D148" i="21"/>
  <c r="D164" i="21"/>
  <c r="J163" i="21" s="1"/>
  <c r="K69" i="21"/>
  <c r="D112" i="21"/>
  <c r="J111" i="21" s="1"/>
  <c r="K141" i="21"/>
  <c r="D173" i="21"/>
  <c r="K13" i="21"/>
  <c r="D36" i="21"/>
  <c r="K92" i="21"/>
  <c r="D109" i="21"/>
  <c r="J109" i="21" s="1"/>
  <c r="D113" i="21"/>
  <c r="D88" i="21"/>
  <c r="E65" i="21"/>
  <c r="G65" i="21" s="1"/>
  <c r="E137" i="21"/>
  <c r="F137" i="21" s="1"/>
  <c r="H137" i="21" s="1"/>
  <c r="E28" i="21"/>
  <c r="G28" i="21" s="1"/>
  <c r="D207" i="21"/>
  <c r="D17" i="21"/>
  <c r="D24" i="21"/>
  <c r="J23" i="21" s="1"/>
  <c r="K40" i="21"/>
  <c r="K48" i="21"/>
  <c r="K64" i="21"/>
  <c r="K73" i="21"/>
  <c r="K80" i="21"/>
  <c r="D96" i="21"/>
  <c r="J95" i="21" s="1"/>
  <c r="K120" i="21"/>
  <c r="K128" i="21"/>
  <c r="D136" i="21"/>
  <c r="K144" i="21"/>
  <c r="K149" i="21"/>
  <c r="K164" i="21"/>
  <c r="D172" i="21"/>
  <c r="D180" i="21"/>
  <c r="D188" i="21"/>
  <c r="J187" i="21" s="1"/>
  <c r="D196" i="21"/>
  <c r="J195" i="21" s="1"/>
  <c r="D204" i="21"/>
  <c r="J203" i="21" s="1"/>
  <c r="K29" i="21"/>
  <c r="D41" i="21"/>
  <c r="K56" i="21"/>
  <c r="K72" i="21"/>
  <c r="K101" i="21"/>
  <c r="D117" i="21"/>
  <c r="K132" i="21"/>
  <c r="D149" i="21"/>
  <c r="D165" i="21"/>
  <c r="K181" i="21"/>
  <c r="K197" i="21"/>
  <c r="D28" i="21"/>
  <c r="D77" i="21"/>
  <c r="D171" i="21"/>
  <c r="D33" i="21"/>
  <c r="J33" i="21" s="1"/>
  <c r="D89" i="21"/>
  <c r="D131" i="21"/>
  <c r="J130" i="21" s="1"/>
  <c r="K143" i="21"/>
  <c r="K171" i="21"/>
  <c r="K187" i="21"/>
  <c r="E41" i="21"/>
  <c r="F41" i="21" s="1"/>
  <c r="H41" i="21" s="1"/>
  <c r="E76" i="21"/>
  <c r="F76" i="21" s="1"/>
  <c r="H76" i="21" s="1"/>
  <c r="E117" i="21"/>
  <c r="G117" i="21" s="1"/>
  <c r="E149" i="21"/>
  <c r="G149" i="21" s="1"/>
  <c r="E181" i="21"/>
  <c r="F181" i="21" s="1"/>
  <c r="H181" i="21" s="1"/>
  <c r="E12" i="21"/>
  <c r="G12" i="21" s="1"/>
  <c r="E32" i="21"/>
  <c r="G32" i="21" s="1"/>
  <c r="E40" i="21"/>
  <c r="G40" i="21" s="1"/>
  <c r="E188" i="21"/>
  <c r="F188" i="21" s="1"/>
  <c r="H188" i="21" s="1"/>
  <c r="E93" i="21"/>
  <c r="G93" i="21" s="1"/>
  <c r="E59" i="21"/>
  <c r="F59" i="21" s="1"/>
  <c r="H59" i="21" s="1"/>
  <c r="M59" i="21" s="1"/>
  <c r="E111" i="21"/>
  <c r="F111" i="21" s="1"/>
  <c r="H111" i="21" s="1"/>
  <c r="E163" i="21"/>
  <c r="F163" i="21" s="1"/>
  <c r="H163" i="21" s="1"/>
  <c r="M163" i="21" s="1"/>
  <c r="E53" i="21"/>
  <c r="F53" i="21" s="1"/>
  <c r="H53" i="21" s="1"/>
  <c r="J210" i="21"/>
  <c r="J178" i="21"/>
  <c r="F26" i="21"/>
  <c r="H26" i="21" s="1"/>
  <c r="G26" i="21"/>
  <c r="G155" i="21"/>
  <c r="F155" i="21"/>
  <c r="H155" i="21" s="1"/>
  <c r="G10" i="21"/>
  <c r="F10" i="21"/>
  <c r="G90" i="21"/>
  <c r="F90" i="21"/>
  <c r="H90" i="21" s="1"/>
  <c r="F115" i="21"/>
  <c r="H115" i="21" s="1"/>
  <c r="G115" i="21"/>
  <c r="G86" i="21"/>
  <c r="F86" i="21"/>
  <c r="H86" i="21" s="1"/>
  <c r="J91" i="21"/>
  <c r="G62" i="21"/>
  <c r="F142" i="21"/>
  <c r="H142" i="21" s="1"/>
  <c r="G142" i="21"/>
  <c r="J146" i="21"/>
  <c r="F183" i="21"/>
  <c r="H183" i="21" s="1"/>
  <c r="G183" i="21"/>
  <c r="G195" i="21"/>
  <c r="F195" i="21"/>
  <c r="H195" i="21" s="1"/>
  <c r="J10" i="21"/>
  <c r="L11" i="21" s="1"/>
  <c r="G103" i="21"/>
  <c r="F103" i="21"/>
  <c r="H103" i="21" s="1"/>
  <c r="G107" i="21"/>
  <c r="F107" i="21"/>
  <c r="H107" i="21" s="1"/>
  <c r="F139" i="21"/>
  <c r="H139" i="21" s="1"/>
  <c r="M139" i="21" s="1"/>
  <c r="G139" i="21"/>
  <c r="F66" i="21"/>
  <c r="H66" i="21" s="1"/>
  <c r="G66" i="21"/>
  <c r="G158" i="21"/>
  <c r="G74" i="21"/>
  <c r="F154" i="21"/>
  <c r="H154" i="21" s="1"/>
  <c r="F171" i="21"/>
  <c r="H171" i="21" s="1"/>
  <c r="G171" i="21"/>
  <c r="G187" i="21"/>
  <c r="F187" i="21"/>
  <c r="H187" i="21" s="1"/>
  <c r="G201" i="21"/>
  <c r="F75" i="21"/>
  <c r="H75" i="21" s="1"/>
  <c r="G75" i="21"/>
  <c r="F113" i="21"/>
  <c r="H113" i="21" s="1"/>
  <c r="F106" i="21"/>
  <c r="H106" i="21" s="1"/>
  <c r="M106" i="21" s="1"/>
  <c r="F147" i="21"/>
  <c r="H147" i="21" s="1"/>
  <c r="M147" i="21" s="1"/>
  <c r="G167" i="21"/>
  <c r="G135" i="21"/>
  <c r="G207" i="21"/>
  <c r="F207" i="21"/>
  <c r="H207" i="21" s="1"/>
  <c r="F146" i="21"/>
  <c r="H146" i="21" s="1"/>
  <c r="G166" i="21"/>
  <c r="F166" i="21"/>
  <c r="H166" i="21" s="1"/>
  <c r="F186" i="21"/>
  <c r="H186" i="21" s="1"/>
  <c r="G83" i="21"/>
  <c r="F199" i="21"/>
  <c r="H199" i="21" s="1"/>
  <c r="G199" i="21"/>
  <c r="M114" i="21" l="1"/>
  <c r="M50" i="21"/>
  <c r="F98" i="21"/>
  <c r="H98" i="21" s="1"/>
  <c r="M98" i="21" s="1"/>
  <c r="J74" i="21"/>
  <c r="G50" i="21"/>
  <c r="F122" i="21"/>
  <c r="H122" i="21" s="1"/>
  <c r="G202" i="21"/>
  <c r="G190" i="21"/>
  <c r="F208" i="21"/>
  <c r="H208" i="21" s="1"/>
  <c r="G23" i="21"/>
  <c r="J118" i="21"/>
  <c r="J205" i="21"/>
  <c r="J59" i="21"/>
  <c r="J73" i="21"/>
  <c r="J117" i="21"/>
  <c r="F87" i="21"/>
  <c r="H87" i="21" s="1"/>
  <c r="M87" i="21" s="1"/>
  <c r="G18" i="21"/>
  <c r="G76" i="21"/>
  <c r="J206" i="21"/>
  <c r="J97" i="21"/>
  <c r="J57" i="21"/>
  <c r="J75" i="21"/>
  <c r="J155" i="21"/>
  <c r="J169" i="21"/>
  <c r="J81" i="21"/>
  <c r="M62" i="21"/>
  <c r="J82" i="21"/>
  <c r="M43" i="21"/>
  <c r="J138" i="21"/>
  <c r="F110" i="21"/>
  <c r="H110" i="21" s="1"/>
  <c r="M110" i="21" s="1"/>
  <c r="F179" i="21"/>
  <c r="H179" i="21" s="1"/>
  <c r="M179" i="21" s="1"/>
  <c r="F92" i="21"/>
  <c r="H92" i="21" s="1"/>
  <c r="M92" i="21" s="1"/>
  <c r="G64" i="21"/>
  <c r="J149" i="21"/>
  <c r="J37" i="21"/>
  <c r="J150" i="21"/>
  <c r="J107" i="21"/>
  <c r="F117" i="21"/>
  <c r="H117" i="21" s="1"/>
  <c r="M117" i="21" s="1"/>
  <c r="F33" i="21"/>
  <c r="H33" i="21" s="1"/>
  <c r="M33" i="21" s="1"/>
  <c r="F94" i="21"/>
  <c r="H94" i="21" s="1"/>
  <c r="M94" i="21" s="1"/>
  <c r="G160" i="21"/>
  <c r="J147" i="21"/>
  <c r="J174" i="21"/>
  <c r="J139" i="21"/>
  <c r="J128" i="21"/>
  <c r="J186" i="21"/>
  <c r="J58" i="21"/>
  <c r="M76" i="21"/>
  <c r="M31" i="21"/>
  <c r="M61" i="21"/>
  <c r="M96" i="21"/>
  <c r="G127" i="21"/>
  <c r="G137" i="21"/>
  <c r="F206" i="21"/>
  <c r="H206" i="21" s="1"/>
  <c r="M206" i="21" s="1"/>
  <c r="F180" i="21"/>
  <c r="H180" i="21" s="1"/>
  <c r="M180" i="21" s="1"/>
  <c r="F121" i="21"/>
  <c r="H121" i="21" s="1"/>
  <c r="M121" i="21" s="1"/>
  <c r="G71" i="21"/>
  <c r="F185" i="21"/>
  <c r="H185" i="21" s="1"/>
  <c r="M185" i="21" s="1"/>
  <c r="F198" i="21"/>
  <c r="H198" i="21" s="1"/>
  <c r="M198" i="21" s="1"/>
  <c r="F89" i="21"/>
  <c r="H89" i="21" s="1"/>
  <c r="M89" i="21" s="1"/>
  <c r="G85" i="21"/>
  <c r="J41" i="21"/>
  <c r="J62" i="21"/>
  <c r="J92" i="21"/>
  <c r="J106" i="21"/>
  <c r="M166" i="21"/>
  <c r="F153" i="21"/>
  <c r="H153" i="21" s="1"/>
  <c r="M153" i="21" s="1"/>
  <c r="G60" i="21"/>
  <c r="G20" i="21"/>
  <c r="M90" i="21"/>
  <c r="F30" i="21"/>
  <c r="H30" i="21" s="1"/>
  <c r="M30" i="21" s="1"/>
  <c r="G111" i="21"/>
  <c r="F174" i="21"/>
  <c r="H174" i="21" s="1"/>
  <c r="M174" i="21" s="1"/>
  <c r="G43" i="21"/>
  <c r="F84" i="21"/>
  <c r="H84" i="21" s="1"/>
  <c r="M84" i="21" s="1"/>
  <c r="J101" i="21"/>
  <c r="J193" i="21"/>
  <c r="M186" i="21"/>
  <c r="M75" i="21"/>
  <c r="M152" i="21"/>
  <c r="M133" i="21"/>
  <c r="M207" i="21"/>
  <c r="M160" i="21"/>
  <c r="M85" i="21"/>
  <c r="F34" i="21"/>
  <c r="H34" i="21" s="1"/>
  <c r="M34" i="21" s="1"/>
  <c r="F170" i="21"/>
  <c r="H170" i="21" s="1"/>
  <c r="M170" i="21" s="1"/>
  <c r="F118" i="21"/>
  <c r="H118" i="21" s="1"/>
  <c r="M118" i="21" s="1"/>
  <c r="F32" i="21"/>
  <c r="H32" i="21" s="1"/>
  <c r="M32" i="21" s="1"/>
  <c r="G120" i="21"/>
  <c r="F157" i="21"/>
  <c r="H157" i="21" s="1"/>
  <c r="M157" i="21" s="1"/>
  <c r="M23" i="21"/>
  <c r="J190" i="21"/>
  <c r="J72" i="21"/>
  <c r="J132" i="21"/>
  <c r="J121" i="21"/>
  <c r="F54" i="21"/>
  <c r="H54" i="21" s="1"/>
  <c r="M54" i="21" s="1"/>
  <c r="F102" i="21"/>
  <c r="H102" i="21" s="1"/>
  <c r="M102" i="21" s="1"/>
  <c r="G197" i="21"/>
  <c r="F16" i="21"/>
  <c r="H16" i="21" s="1"/>
  <c r="M16" i="21" s="1"/>
  <c r="M202" i="21"/>
  <c r="M66" i="21"/>
  <c r="G104" i="21"/>
  <c r="F126" i="21"/>
  <c r="H126" i="21" s="1"/>
  <c r="M126" i="21" s="1"/>
  <c r="F55" i="21"/>
  <c r="H55" i="21" s="1"/>
  <c r="M55" i="21" s="1"/>
  <c r="G204" i="21"/>
  <c r="F37" i="21"/>
  <c r="H37" i="21" s="1"/>
  <c r="M37" i="21" s="1"/>
  <c r="F203" i="21"/>
  <c r="H203" i="21" s="1"/>
  <c r="M203" i="21" s="1"/>
  <c r="J122" i="21"/>
  <c r="J25" i="21"/>
  <c r="J60" i="21"/>
  <c r="J189" i="21"/>
  <c r="J13" i="21"/>
  <c r="J49" i="21"/>
  <c r="F79" i="21"/>
  <c r="H79" i="21" s="1"/>
  <c r="M79" i="21" s="1"/>
  <c r="G175" i="21"/>
  <c r="G101" i="21"/>
  <c r="J45" i="21"/>
  <c r="J66" i="21"/>
  <c r="J159" i="21"/>
  <c r="M11" i="21"/>
  <c r="M168" i="21"/>
  <c r="J199" i="21"/>
  <c r="J22" i="21"/>
  <c r="J53" i="21"/>
  <c r="J108" i="21"/>
  <c r="M146" i="21"/>
  <c r="F141" i="21"/>
  <c r="H141" i="21" s="1"/>
  <c r="M141" i="21" s="1"/>
  <c r="G119" i="21"/>
  <c r="F42" i="21"/>
  <c r="H42" i="21" s="1"/>
  <c r="M42" i="21" s="1"/>
  <c r="G15" i="21"/>
  <c r="F209" i="21"/>
  <c r="H209" i="21" s="1"/>
  <c r="M209" i="21" s="1"/>
  <c r="G173" i="21"/>
  <c r="M111" i="21"/>
  <c r="M136" i="21"/>
  <c r="M176" i="21"/>
  <c r="M129" i="21"/>
  <c r="J160" i="21"/>
  <c r="J65" i="21"/>
  <c r="J38" i="21"/>
  <c r="M210" i="21"/>
  <c r="M38" i="21"/>
  <c r="G151" i="21"/>
  <c r="F194" i="21"/>
  <c r="H194" i="21" s="1"/>
  <c r="M194" i="21" s="1"/>
  <c r="F138" i="21"/>
  <c r="H138" i="21" s="1"/>
  <c r="M138" i="21" s="1"/>
  <c r="M154" i="21"/>
  <c r="G114" i="21"/>
  <c r="G70" i="21"/>
  <c r="G21" i="21"/>
  <c r="F52" i="21"/>
  <c r="H52" i="21" s="1"/>
  <c r="J201" i="21"/>
  <c r="J133" i="21"/>
  <c r="J157" i="21"/>
  <c r="J192" i="21"/>
  <c r="G130" i="21"/>
  <c r="F22" i="21"/>
  <c r="H22" i="21" s="1"/>
  <c r="M22" i="21" s="1"/>
  <c r="G200" i="21"/>
  <c r="F134" i="21"/>
  <c r="H134" i="21" s="1"/>
  <c r="M134" i="21" s="1"/>
  <c r="G46" i="21"/>
  <c r="M142" i="21"/>
  <c r="J39" i="21"/>
  <c r="F39" i="21"/>
  <c r="H39" i="21" s="1"/>
  <c r="M39" i="21" s="1"/>
  <c r="G133" i="21"/>
  <c r="G168" i="21"/>
  <c r="G80" i="21"/>
  <c r="M52" i="21"/>
  <c r="J136" i="21"/>
  <c r="J144" i="21"/>
  <c r="F88" i="21"/>
  <c r="H88" i="21" s="1"/>
  <c r="M88" i="21" s="1"/>
  <c r="G31" i="21"/>
  <c r="G182" i="21"/>
  <c r="G38" i="21"/>
  <c r="F172" i="21"/>
  <c r="H172" i="21" s="1"/>
  <c r="M172" i="21" s="1"/>
  <c r="F17" i="21"/>
  <c r="H17" i="21" s="1"/>
  <c r="M17" i="21" s="1"/>
  <c r="F19" i="21"/>
  <c r="H19" i="21" s="1"/>
  <c r="M19" i="21" s="1"/>
  <c r="M122" i="21"/>
  <c r="M74" i="21"/>
  <c r="G11" i="21"/>
  <c r="F161" i="21"/>
  <c r="H161" i="21" s="1"/>
  <c r="M161" i="21" s="1"/>
  <c r="G29" i="21"/>
  <c r="F164" i="21"/>
  <c r="H164" i="21" s="1"/>
  <c r="M164" i="21" s="1"/>
  <c r="J202" i="21"/>
  <c r="G165" i="21"/>
  <c r="F196" i="21"/>
  <c r="H196" i="21" s="1"/>
  <c r="M196" i="21" s="1"/>
  <c r="J89" i="21"/>
  <c r="J135" i="21"/>
  <c r="J143" i="21"/>
  <c r="J20" i="21"/>
  <c r="M46" i="21"/>
  <c r="G61" i="21"/>
  <c r="F82" i="21"/>
  <c r="H82" i="21" s="1"/>
  <c r="M82" i="21" s="1"/>
  <c r="F65" i="21"/>
  <c r="H65" i="21" s="1"/>
  <c r="M65" i="21" s="1"/>
  <c r="M60" i="21"/>
  <c r="J165" i="21"/>
  <c r="G210" i="21"/>
  <c r="G163" i="21"/>
  <c r="F162" i="21"/>
  <c r="H162" i="21" s="1"/>
  <c r="M162" i="21" s="1"/>
  <c r="M107" i="21"/>
  <c r="F58" i="21"/>
  <c r="H58" i="21" s="1"/>
  <c r="M58" i="21" s="1"/>
  <c r="F132" i="21"/>
  <c r="H132" i="21" s="1"/>
  <c r="M132" i="21" s="1"/>
  <c r="M26" i="21"/>
  <c r="F177" i="21"/>
  <c r="H177" i="21" s="1"/>
  <c r="M177" i="21" s="1"/>
  <c r="F51" i="21"/>
  <c r="H51" i="21" s="1"/>
  <c r="M51" i="21" s="1"/>
  <c r="J54" i="21"/>
  <c r="J183" i="21"/>
  <c r="M25" i="21"/>
  <c r="J105" i="21"/>
  <c r="M112" i="21"/>
  <c r="J93" i="21"/>
  <c r="J113" i="21"/>
  <c r="J153" i="21"/>
  <c r="J125" i="21"/>
  <c r="G152" i="21"/>
  <c r="F28" i="21"/>
  <c r="H28" i="21" s="1"/>
  <c r="M28" i="21" s="1"/>
  <c r="F49" i="21"/>
  <c r="H49" i="21" s="1"/>
  <c r="M49" i="21" s="1"/>
  <c r="G188" i="21"/>
  <c r="F40" i="21"/>
  <c r="H40" i="21" s="1"/>
  <c r="M40" i="21" s="1"/>
  <c r="F93" i="21"/>
  <c r="H93" i="21" s="1"/>
  <c r="M93" i="21" s="1"/>
  <c r="M115" i="21"/>
  <c r="G169" i="21"/>
  <c r="M155" i="21"/>
  <c r="J80" i="21"/>
  <c r="J154" i="21"/>
  <c r="J173" i="21"/>
  <c r="J21" i="21"/>
  <c r="J176" i="21"/>
  <c r="J200" i="21"/>
  <c r="J152" i="21"/>
  <c r="J120" i="21"/>
  <c r="F12" i="21"/>
  <c r="H12" i="21" s="1"/>
  <c r="M12" i="21" s="1"/>
  <c r="F97" i="21"/>
  <c r="H97" i="21" s="1"/>
  <c r="M97" i="21" s="1"/>
  <c r="F192" i="21"/>
  <c r="H192" i="21" s="1"/>
  <c r="M192" i="21" s="1"/>
  <c r="M113" i="21"/>
  <c r="M208" i="21"/>
  <c r="F63" i="21"/>
  <c r="H63" i="21" s="1"/>
  <c r="M63" i="21" s="1"/>
  <c r="G112" i="21"/>
  <c r="M188" i="21"/>
  <c r="M41" i="21"/>
  <c r="J77" i="21"/>
  <c r="J180" i="21"/>
  <c r="J88" i="21"/>
  <c r="J36" i="21"/>
  <c r="J96" i="21"/>
  <c r="M68" i="21"/>
  <c r="J85" i="21"/>
  <c r="M148" i="21"/>
  <c r="J63" i="21"/>
  <c r="J61" i="21"/>
  <c r="J196" i="21"/>
  <c r="M78" i="21"/>
  <c r="J140" i="21"/>
  <c r="M18" i="21"/>
  <c r="J123" i="21"/>
  <c r="F159" i="21"/>
  <c r="H159" i="21" s="1"/>
  <c r="M159" i="21" s="1"/>
  <c r="F150" i="21"/>
  <c r="H150" i="21" s="1"/>
  <c r="M150" i="21" s="1"/>
  <c r="F109" i="21"/>
  <c r="H109" i="21" s="1"/>
  <c r="M109" i="21" s="1"/>
  <c r="M86" i="21"/>
  <c r="J31" i="21"/>
  <c r="G193" i="21"/>
  <c r="F184" i="21"/>
  <c r="H184" i="21" s="1"/>
  <c r="M184" i="21" s="1"/>
  <c r="G144" i="21"/>
  <c r="F128" i="21"/>
  <c r="H128" i="21" s="1"/>
  <c r="M128" i="21" s="1"/>
  <c r="J134" i="21"/>
  <c r="F178" i="21"/>
  <c r="H178" i="21" s="1"/>
  <c r="M178" i="21" s="1"/>
  <c r="G68" i="21"/>
  <c r="G14" i="21"/>
  <c r="G57" i="21"/>
  <c r="G125" i="21"/>
  <c r="F56" i="21"/>
  <c r="H56" i="21" s="1"/>
  <c r="M56" i="21" s="1"/>
  <c r="M15" i="21"/>
  <c r="F73" i="21"/>
  <c r="H73" i="21" s="1"/>
  <c r="M73" i="21" s="1"/>
  <c r="M183" i="21"/>
  <c r="G78" i="21"/>
  <c r="F36" i="21"/>
  <c r="H36" i="21" s="1"/>
  <c r="M36" i="21" s="1"/>
  <c r="J12" i="21"/>
  <c r="G148" i="21"/>
  <c r="F13" i="21"/>
  <c r="H13" i="21" s="1"/>
  <c r="M13" i="21" s="1"/>
  <c r="J64" i="21"/>
  <c r="J84" i="21"/>
  <c r="M120" i="21"/>
  <c r="J185" i="21"/>
  <c r="M143" i="21"/>
  <c r="M175" i="21"/>
  <c r="J56" i="21"/>
  <c r="M64" i="21"/>
  <c r="J100" i="21"/>
  <c r="M204" i="21"/>
  <c r="M173" i="21"/>
  <c r="J141" i="21"/>
  <c r="J48" i="21"/>
  <c r="F44" i="21"/>
  <c r="H44" i="21" s="1"/>
  <c r="M44" i="21" s="1"/>
  <c r="M69" i="21"/>
  <c r="J115" i="21"/>
  <c r="M45" i="21"/>
  <c r="M182" i="21"/>
  <c r="J161" i="21"/>
  <c r="F149" i="21"/>
  <c r="H149" i="21" s="1"/>
  <c r="M149" i="21" s="1"/>
  <c r="G91" i="21"/>
  <c r="G136" i="21"/>
  <c r="M195" i="21"/>
  <c r="F77" i="21"/>
  <c r="H77" i="21" s="1"/>
  <c r="M77" i="21" s="1"/>
  <c r="M53" i="21"/>
  <c r="J171" i="21"/>
  <c r="J188" i="21"/>
  <c r="J16" i="21"/>
  <c r="M145" i="21"/>
  <c r="J158" i="21"/>
  <c r="M191" i="21"/>
  <c r="J119" i="21"/>
  <c r="J71" i="21"/>
  <c r="M197" i="21"/>
  <c r="M200" i="21"/>
  <c r="J83" i="21"/>
  <c r="J32" i="21"/>
  <c r="J182" i="21"/>
  <c r="J184" i="21"/>
  <c r="M127" i="21"/>
  <c r="J114" i="21"/>
  <c r="F47" i="21"/>
  <c r="H47" i="21" s="1"/>
  <c r="M47" i="21" s="1"/>
  <c r="J17" i="21"/>
  <c r="F189" i="21"/>
  <c r="H189" i="21" s="1"/>
  <c r="M189" i="21" s="1"/>
  <c r="G53" i="21"/>
  <c r="G143" i="21"/>
  <c r="J208" i="21"/>
  <c r="J40" i="21"/>
  <c r="F24" i="21"/>
  <c r="M167" i="21"/>
  <c r="F156" i="21"/>
  <c r="H156" i="21" s="1"/>
  <c r="M156" i="21" s="1"/>
  <c r="F105" i="21"/>
  <c r="H105" i="21" s="1"/>
  <c r="M105" i="21" s="1"/>
  <c r="M20" i="21"/>
  <c r="G48" i="21"/>
  <c r="J142" i="21"/>
  <c r="G131" i="21"/>
  <c r="F27" i="21"/>
  <c r="H27" i="21" s="1"/>
  <c r="M27" i="21" s="1"/>
  <c r="J170" i="21"/>
  <c r="F81" i="21"/>
  <c r="H81" i="21" s="1"/>
  <c r="M81" i="21" s="1"/>
  <c r="F116" i="21"/>
  <c r="H116" i="21" s="1"/>
  <c r="M116" i="21" s="1"/>
  <c r="F95" i="21"/>
  <c r="H95" i="21" s="1"/>
  <c r="M95" i="21" s="1"/>
  <c r="G25" i="21"/>
  <c r="G145" i="21"/>
  <c r="F72" i="21"/>
  <c r="H72" i="21" s="1"/>
  <c r="M72" i="21" s="1"/>
  <c r="G45" i="21"/>
  <c r="F205" i="21"/>
  <c r="H205" i="21" s="1"/>
  <c r="M205" i="21" s="1"/>
  <c r="J27" i="21"/>
  <c r="J148" i="21"/>
  <c r="J172" i="21"/>
  <c r="M144" i="21"/>
  <c r="M193" i="21"/>
  <c r="M35" i="21"/>
  <c r="M91" i="21"/>
  <c r="J104" i="21"/>
  <c r="M125" i="21"/>
  <c r="J156" i="21"/>
  <c r="G129" i="21"/>
  <c r="G69" i="21"/>
  <c r="J151" i="21"/>
  <c r="J177" i="21"/>
  <c r="J55" i="21"/>
  <c r="G59" i="21"/>
  <c r="G96" i="21"/>
  <c r="M199" i="21"/>
  <c r="J44" i="21"/>
  <c r="M171" i="21"/>
  <c r="M103" i="21"/>
  <c r="M181" i="21"/>
  <c r="J164" i="21"/>
  <c r="J116" i="21"/>
  <c r="J207" i="21"/>
  <c r="J19" i="21"/>
  <c r="J28" i="21"/>
  <c r="M80" i="21"/>
  <c r="M100" i="21"/>
  <c r="J131" i="21"/>
  <c r="M140" i="21"/>
  <c r="J67" i="21"/>
  <c r="J112" i="21"/>
  <c r="J129" i="21"/>
  <c r="F108" i="21"/>
  <c r="H108" i="21" s="1"/>
  <c r="M108" i="21" s="1"/>
  <c r="M29" i="21"/>
  <c r="G123" i="21"/>
  <c r="G41" i="21"/>
  <c r="M169" i="21"/>
  <c r="J35" i="21"/>
  <c r="G191" i="21"/>
  <c r="G140" i="21"/>
  <c r="F99" i="21"/>
  <c r="H99" i="21" s="1"/>
  <c r="M99" i="21" s="1"/>
  <c r="J168" i="21"/>
  <c r="J24" i="21"/>
  <c r="J76" i="21"/>
  <c r="M48" i="21"/>
  <c r="G181" i="21"/>
  <c r="G176" i="21"/>
  <c r="F124" i="21"/>
  <c r="H124" i="21" s="1"/>
  <c r="M124" i="21" s="1"/>
  <c r="G100" i="21"/>
  <c r="J29" i="21"/>
  <c r="M104" i="21"/>
  <c r="G67" i="21"/>
  <c r="J18" i="21"/>
  <c r="J87" i="21"/>
  <c r="J52" i="21"/>
  <c r="G35" i="21"/>
  <c r="J175" i="21"/>
  <c r="J103" i="21"/>
  <c r="J204" i="21"/>
  <c r="A23" i="20"/>
  <c r="D49" i="20" s="1"/>
  <c r="M201" i="21"/>
  <c r="J68" i="21"/>
  <c r="J179" i="21"/>
  <c r="M137" i="21"/>
  <c r="M187" i="21"/>
  <c r="M57" i="21"/>
  <c r="J145" i="21"/>
  <c r="M101" i="21"/>
  <c r="L12" i="21"/>
  <c r="H10" i="21"/>
  <c r="D2" i="21"/>
  <c r="L13" i="21" l="1"/>
  <c r="L14" i="21" s="1"/>
  <c r="L15" i="21" s="1"/>
  <c r="L16" i="21" s="1"/>
  <c r="L17" i="21" s="1"/>
  <c r="L18" i="21" s="1"/>
  <c r="L19" i="21" s="1"/>
  <c r="L20" i="21" s="1"/>
  <c r="L21" i="21" s="1"/>
  <c r="L22" i="21" s="1"/>
  <c r="L23" i="21" s="1"/>
  <c r="L24" i="21" s="1"/>
  <c r="L25" i="21" s="1"/>
  <c r="L26" i="21" s="1"/>
  <c r="L27" i="21" s="1"/>
  <c r="L28" i="21" s="1"/>
  <c r="L29" i="21" s="1"/>
  <c r="L30" i="21" s="1"/>
  <c r="L31" i="21" s="1"/>
  <c r="L32" i="21" s="1"/>
  <c r="L33" i="21" s="1"/>
  <c r="L34" i="21" s="1"/>
  <c r="L35" i="21" s="1"/>
  <c r="L36" i="21" s="1"/>
  <c r="L37" i="21" s="1"/>
  <c r="L38" i="21" s="1"/>
  <c r="L39" i="21" s="1"/>
  <c r="L40" i="21" s="1"/>
  <c r="L41" i="21" s="1"/>
  <c r="L42" i="21" s="1"/>
  <c r="L43" i="21" s="1"/>
  <c r="L44" i="21" s="1"/>
  <c r="L45" i="21" s="1"/>
  <c r="L46" i="21" s="1"/>
  <c r="L47" i="21" s="1"/>
  <c r="L48" i="21" s="1"/>
  <c r="L49" i="21" s="1"/>
  <c r="L50" i="21" s="1"/>
  <c r="L51" i="21" s="1"/>
  <c r="L52" i="21" s="1"/>
  <c r="L53" i="21" s="1"/>
  <c r="L54" i="21" s="1"/>
  <c r="L55" i="21" s="1"/>
  <c r="L56" i="21" s="1"/>
  <c r="L57" i="21" s="1"/>
  <c r="L58" i="21" s="1"/>
  <c r="L59" i="21" s="1"/>
  <c r="L60" i="21" s="1"/>
  <c r="L61" i="21" s="1"/>
  <c r="L62" i="21" s="1"/>
  <c r="L63" i="21" s="1"/>
  <c r="L64" i="21" s="1"/>
  <c r="L65" i="21" s="1"/>
  <c r="L66" i="21" s="1"/>
  <c r="L67" i="21" s="1"/>
  <c r="L68" i="21" s="1"/>
  <c r="L69" i="21" s="1"/>
  <c r="L70" i="21" s="1"/>
  <c r="L71" i="21" s="1"/>
  <c r="L72" i="21" s="1"/>
  <c r="L73" i="21" s="1"/>
  <c r="L74" i="21" s="1"/>
  <c r="L75" i="21" s="1"/>
  <c r="L76" i="21" s="1"/>
  <c r="L77" i="21" s="1"/>
  <c r="L78" i="21" s="1"/>
  <c r="L79" i="21" s="1"/>
  <c r="L80" i="21" s="1"/>
  <c r="L81" i="21" s="1"/>
  <c r="L82" i="21" s="1"/>
  <c r="L83" i="21" s="1"/>
  <c r="L84" i="21" s="1"/>
  <c r="L85" i="21" s="1"/>
  <c r="L86" i="21" s="1"/>
  <c r="L87" i="21" s="1"/>
  <c r="L88" i="21" s="1"/>
  <c r="L89" i="21" s="1"/>
  <c r="L90" i="21" s="1"/>
  <c r="L91" i="21" s="1"/>
  <c r="L92" i="21" s="1"/>
  <c r="L93" i="21" s="1"/>
  <c r="L94" i="21" s="1"/>
  <c r="L95" i="21" s="1"/>
  <c r="L96" i="21" s="1"/>
  <c r="L97" i="21" s="1"/>
  <c r="L98" i="21" s="1"/>
  <c r="L99" i="21" s="1"/>
  <c r="L100" i="21" s="1"/>
  <c r="L101" i="21" s="1"/>
  <c r="L102" i="21" s="1"/>
  <c r="L103" i="21" s="1"/>
  <c r="L104" i="21" s="1"/>
  <c r="L105" i="21" s="1"/>
  <c r="L106" i="21" s="1"/>
  <c r="L107" i="21" s="1"/>
  <c r="L108" i="21" s="1"/>
  <c r="L109" i="21" s="1"/>
  <c r="L110" i="21" s="1"/>
  <c r="L111" i="21" s="1"/>
  <c r="L112" i="21" s="1"/>
  <c r="L113" i="21" s="1"/>
  <c r="L114" i="21" s="1"/>
  <c r="L115" i="21" s="1"/>
  <c r="L116" i="21" s="1"/>
  <c r="L117" i="21" s="1"/>
  <c r="L118" i="21" s="1"/>
  <c r="L119" i="21" s="1"/>
  <c r="L120" i="21" s="1"/>
  <c r="L121" i="21" s="1"/>
  <c r="L122" i="21" s="1"/>
  <c r="L123" i="21" s="1"/>
  <c r="L124" i="21" s="1"/>
  <c r="L125" i="21" s="1"/>
  <c r="L126" i="21" s="1"/>
  <c r="L127" i="21" s="1"/>
  <c r="L128" i="21" s="1"/>
  <c r="L129" i="21" s="1"/>
  <c r="L130" i="21" s="1"/>
  <c r="L131" i="21" s="1"/>
  <c r="L132" i="21" s="1"/>
  <c r="L133" i="21" s="1"/>
  <c r="L134" i="21" s="1"/>
  <c r="L135" i="21" s="1"/>
  <c r="L136" i="21" s="1"/>
  <c r="L137" i="21" s="1"/>
  <c r="L138" i="21" s="1"/>
  <c r="L139" i="21" s="1"/>
  <c r="L140" i="21" s="1"/>
  <c r="L141" i="21" s="1"/>
  <c r="L142" i="21" s="1"/>
  <c r="L143" i="21" s="1"/>
  <c r="L144" i="21" s="1"/>
  <c r="L145" i="21" s="1"/>
  <c r="L146" i="21" s="1"/>
  <c r="L147" i="21" s="1"/>
  <c r="L148" i="21" s="1"/>
  <c r="L149" i="21" s="1"/>
  <c r="L150" i="21" s="1"/>
  <c r="L151" i="21" s="1"/>
  <c r="L152" i="21" s="1"/>
  <c r="L153" i="21" s="1"/>
  <c r="L154" i="21" s="1"/>
  <c r="L155" i="21" s="1"/>
  <c r="L156" i="21" s="1"/>
  <c r="L157" i="21" s="1"/>
  <c r="L158" i="21" s="1"/>
  <c r="L159" i="21" s="1"/>
  <c r="L160" i="21" s="1"/>
  <c r="L161" i="21" s="1"/>
  <c r="L162" i="21" s="1"/>
  <c r="L163" i="21" s="1"/>
  <c r="L164" i="21" s="1"/>
  <c r="L165" i="21" s="1"/>
  <c r="L166" i="21" s="1"/>
  <c r="L167" i="21" s="1"/>
  <c r="L168" i="21" s="1"/>
  <c r="L169" i="21" s="1"/>
  <c r="L170" i="21" s="1"/>
  <c r="L171" i="21" s="1"/>
  <c r="L172" i="21" s="1"/>
  <c r="L173" i="21" s="1"/>
  <c r="L174" i="21" s="1"/>
  <c r="L175" i="21" s="1"/>
  <c r="L176" i="21" s="1"/>
  <c r="L177" i="21" s="1"/>
  <c r="L178" i="21" s="1"/>
  <c r="L179" i="21" s="1"/>
  <c r="L180" i="21" s="1"/>
  <c r="L181" i="21" s="1"/>
  <c r="L182" i="21" s="1"/>
  <c r="L183" i="21" s="1"/>
  <c r="L184" i="21" s="1"/>
  <c r="L185" i="21" s="1"/>
  <c r="L186" i="21" s="1"/>
  <c r="L187" i="21" s="1"/>
  <c r="L188" i="21" s="1"/>
  <c r="L189" i="21" s="1"/>
  <c r="L190" i="21" s="1"/>
  <c r="L191" i="21" s="1"/>
  <c r="L192" i="21" s="1"/>
  <c r="L193" i="21" s="1"/>
  <c r="L194" i="21" s="1"/>
  <c r="L195" i="21" s="1"/>
  <c r="L196" i="21" s="1"/>
  <c r="L197" i="21" s="1"/>
  <c r="L198" i="21" s="1"/>
  <c r="L199" i="21" s="1"/>
  <c r="L200" i="21" s="1"/>
  <c r="L201" i="21" s="1"/>
  <c r="L202" i="21" s="1"/>
  <c r="L203" i="21" s="1"/>
  <c r="L204" i="21" s="1"/>
  <c r="L205" i="21" s="1"/>
  <c r="L206" i="21" s="1"/>
  <c r="L207" i="21" s="1"/>
  <c r="L208" i="21" s="1"/>
  <c r="L209" i="21" s="1"/>
  <c r="L210" i="21" s="1"/>
  <c r="E2" i="21"/>
  <c r="C3" i="21"/>
  <c r="G2" i="21"/>
  <c r="F2" i="21"/>
  <c r="L1" i="21"/>
  <c r="H24" i="21"/>
  <c r="M24" i="21" s="1"/>
  <c r="G49" i="20"/>
  <c r="D50" i="20"/>
  <c r="M10" i="21"/>
  <c r="I11" i="21"/>
  <c r="D3" i="21"/>
  <c r="G3" i="21" l="1"/>
  <c r="E3" i="21"/>
  <c r="F3" i="21"/>
  <c r="C4" i="21"/>
  <c r="N11" i="21"/>
  <c r="O11" i="21" s="1"/>
  <c r="Q11" i="21" s="1"/>
  <c r="I12" i="21"/>
  <c r="D4" i="21"/>
  <c r="C5" i="21" l="1"/>
  <c r="D5" i="21" s="1"/>
  <c r="E4" i="21"/>
  <c r="F4" i="21"/>
  <c r="G4" i="21"/>
  <c r="N12" i="21"/>
  <c r="O12" i="21" s="1"/>
  <c r="Q12" i="21" s="1"/>
  <c r="I13" i="21"/>
  <c r="E5" i="21" l="1"/>
  <c r="F5" i="21"/>
  <c r="I5" i="21" s="1"/>
  <c r="G5" i="21"/>
  <c r="N13" i="21"/>
  <c r="O13" i="21" s="1"/>
  <c r="Q13" i="21" s="1"/>
  <c r="I14" i="21"/>
  <c r="H5" i="21" l="1"/>
  <c r="N14" i="21"/>
  <c r="O14" i="21" s="1"/>
  <c r="Q14" i="21" s="1"/>
  <c r="I15" i="21"/>
  <c r="N15" i="21" l="1"/>
  <c r="O15" i="21" s="1"/>
  <c r="Q15" i="21" s="1"/>
  <c r="I16" i="21"/>
  <c r="N16" i="21" l="1"/>
  <c r="O16" i="21" s="1"/>
  <c r="Q16" i="21" s="1"/>
  <c r="I17" i="21"/>
  <c r="N17" i="21" l="1"/>
  <c r="O17" i="21" s="1"/>
  <c r="Q17" i="21" s="1"/>
  <c r="I18" i="21"/>
  <c r="N18" i="21" l="1"/>
  <c r="O18" i="21" s="1"/>
  <c r="Q18" i="21" s="1"/>
  <c r="I19" i="21"/>
  <c r="N19" i="21" l="1"/>
  <c r="O19" i="21" s="1"/>
  <c r="Q19" i="21" s="1"/>
  <c r="I20" i="21"/>
  <c r="N20" i="21" l="1"/>
  <c r="O20" i="21" s="1"/>
  <c r="Q20" i="21" s="1"/>
  <c r="I21" i="21"/>
  <c r="N21" i="21" l="1"/>
  <c r="O21" i="21" s="1"/>
  <c r="Q21" i="21" s="1"/>
  <c r="I22" i="21"/>
  <c r="N22" i="21" l="1"/>
  <c r="O22" i="21" s="1"/>
  <c r="Q22" i="21" s="1"/>
  <c r="I23" i="21"/>
  <c r="N23" i="21" l="1"/>
  <c r="O23" i="21" s="1"/>
  <c r="Q23" i="21" s="1"/>
  <c r="I24" i="21"/>
  <c r="N24" i="21" l="1"/>
  <c r="O24" i="21" s="1"/>
  <c r="Q24" i="21" s="1"/>
  <c r="I25" i="21"/>
  <c r="N25" i="21" l="1"/>
  <c r="O25" i="21" s="1"/>
  <c r="Q25" i="21" s="1"/>
  <c r="I26" i="21"/>
  <c r="N26" i="21" l="1"/>
  <c r="O26" i="21" s="1"/>
  <c r="Q26" i="21" s="1"/>
  <c r="I27" i="21"/>
  <c r="N27" i="21" l="1"/>
  <c r="O27" i="21" s="1"/>
  <c r="Q27" i="21" s="1"/>
  <c r="I28" i="21"/>
  <c r="N28" i="21" l="1"/>
  <c r="O28" i="21" s="1"/>
  <c r="Q28" i="21" s="1"/>
  <c r="I29" i="21"/>
  <c r="N29" i="21" l="1"/>
  <c r="O29" i="21" s="1"/>
  <c r="Q29" i="21" s="1"/>
  <c r="I30" i="21"/>
  <c r="N30" i="21" l="1"/>
  <c r="O30" i="21" s="1"/>
  <c r="I31" i="21"/>
  <c r="Q30" i="21" l="1"/>
  <c r="N31" i="21"/>
  <c r="O31" i="21" s="1"/>
  <c r="I32" i="21"/>
  <c r="Q31" i="21" l="1"/>
  <c r="N32" i="21"/>
  <c r="O32" i="21" s="1"/>
  <c r="I33" i="21"/>
  <c r="Q32" i="21" l="1"/>
  <c r="N33" i="21"/>
  <c r="O33" i="21" s="1"/>
  <c r="I34" i="21"/>
  <c r="Q33" i="21" l="1"/>
  <c r="N34" i="21"/>
  <c r="O34" i="21" s="1"/>
  <c r="I35" i="21"/>
  <c r="Q34" i="21" l="1"/>
  <c r="N35" i="21"/>
  <c r="O35" i="21" s="1"/>
  <c r="I36" i="21"/>
  <c r="Q35" i="21" l="1"/>
  <c r="N36" i="21"/>
  <c r="O36" i="21" s="1"/>
  <c r="I37" i="21"/>
  <c r="Q36" i="21" l="1"/>
  <c r="N37" i="21"/>
  <c r="O37" i="21" s="1"/>
  <c r="I38" i="21"/>
  <c r="Q37" i="21" l="1"/>
  <c r="N38" i="21"/>
  <c r="O38" i="21" s="1"/>
  <c r="I39" i="21"/>
  <c r="Q38" i="21" l="1"/>
  <c r="N39" i="21"/>
  <c r="O39" i="21" s="1"/>
  <c r="I40" i="21"/>
  <c r="Q39" i="21" l="1"/>
  <c r="N40" i="21"/>
  <c r="O40" i="21" s="1"/>
  <c r="I41" i="21"/>
  <c r="Q40" i="21" l="1"/>
  <c r="N41" i="21"/>
  <c r="O41" i="21" s="1"/>
  <c r="I42" i="21"/>
  <c r="Q41" i="21" l="1"/>
  <c r="N42" i="21"/>
  <c r="O42" i="21" s="1"/>
  <c r="I43" i="21"/>
  <c r="Q42" i="21" l="1"/>
  <c r="N43" i="21"/>
  <c r="O43" i="21" s="1"/>
  <c r="I44" i="21"/>
  <c r="Q43" i="21" l="1"/>
  <c r="N44" i="21"/>
  <c r="O44" i="21" s="1"/>
  <c r="I45" i="21"/>
  <c r="Q44" i="21" l="1"/>
  <c r="N45" i="21"/>
  <c r="O45" i="21" s="1"/>
  <c r="I46" i="21"/>
  <c r="Q45" i="21" l="1"/>
  <c r="N46" i="21"/>
  <c r="O46" i="21" s="1"/>
  <c r="I47" i="21"/>
  <c r="Q46" i="21" l="1"/>
  <c r="N47" i="21"/>
  <c r="O47" i="21" s="1"/>
  <c r="I48" i="21"/>
  <c r="Q47" i="21" l="1"/>
  <c r="N48" i="21"/>
  <c r="O48" i="21" s="1"/>
  <c r="I49" i="21"/>
  <c r="Q48" i="21" l="1"/>
  <c r="N49" i="21"/>
  <c r="O49" i="21" s="1"/>
  <c r="I50" i="21"/>
  <c r="Q49" i="21" l="1"/>
  <c r="N50" i="21"/>
  <c r="O50" i="21" s="1"/>
  <c r="I51" i="21"/>
  <c r="Q50" i="21" l="1"/>
  <c r="N51" i="21"/>
  <c r="O51" i="21" s="1"/>
  <c r="I52" i="21"/>
  <c r="Q51" i="21" l="1"/>
  <c r="N52" i="21"/>
  <c r="O52" i="21" s="1"/>
  <c r="I53" i="21"/>
  <c r="Q52" i="21" l="1"/>
  <c r="N53" i="21"/>
  <c r="O53" i="21" s="1"/>
  <c r="I54" i="21"/>
  <c r="Q53" i="21" l="1"/>
  <c r="N54" i="21"/>
  <c r="O54" i="21" s="1"/>
  <c r="I55" i="21"/>
  <c r="Q54" i="21" l="1"/>
  <c r="N55" i="21"/>
  <c r="O55" i="21" s="1"/>
  <c r="I56" i="21"/>
  <c r="Q55" i="21" l="1"/>
  <c r="N56" i="21"/>
  <c r="O56" i="21" s="1"/>
  <c r="I57" i="21"/>
  <c r="Q56" i="21" l="1"/>
  <c r="N57" i="21"/>
  <c r="O57" i="21" s="1"/>
  <c r="I58" i="21"/>
  <c r="Q57" i="21" l="1"/>
  <c r="N58" i="21"/>
  <c r="O58" i="21" s="1"/>
  <c r="I59" i="21"/>
  <c r="Q58" i="21" l="1"/>
  <c r="N59" i="21"/>
  <c r="O59" i="21" s="1"/>
  <c r="I60" i="21"/>
  <c r="Q59" i="21" l="1"/>
  <c r="N60" i="21"/>
  <c r="O60" i="21" s="1"/>
  <c r="I61" i="21"/>
  <c r="Q60" i="21" l="1"/>
  <c r="N61" i="21"/>
  <c r="O61" i="21" s="1"/>
  <c r="I62" i="21"/>
  <c r="Q61" i="21" l="1"/>
  <c r="N62" i="21"/>
  <c r="O62" i="21" s="1"/>
  <c r="I63" i="21"/>
  <c r="Q62" i="21" l="1"/>
  <c r="N63" i="21"/>
  <c r="O63" i="21" s="1"/>
  <c r="I64" i="21"/>
  <c r="Q63" i="21" l="1"/>
  <c r="N64" i="21"/>
  <c r="O64" i="21" s="1"/>
  <c r="I65" i="21"/>
  <c r="Q64" i="21" l="1"/>
  <c r="N65" i="21"/>
  <c r="O65" i="21" s="1"/>
  <c r="I66" i="21"/>
  <c r="Q65" i="21" l="1"/>
  <c r="N66" i="21"/>
  <c r="O66" i="21" s="1"/>
  <c r="I67" i="21"/>
  <c r="Q66" i="21" l="1"/>
  <c r="N67" i="21"/>
  <c r="O67" i="21" s="1"/>
  <c r="I68" i="21"/>
  <c r="Q67" i="21" l="1"/>
  <c r="N68" i="21"/>
  <c r="O68" i="21" s="1"/>
  <c r="I69" i="21"/>
  <c r="Q68" i="21" l="1"/>
  <c r="N69" i="21"/>
  <c r="O69" i="21" s="1"/>
  <c r="I70" i="21"/>
  <c r="Q69" i="21" l="1"/>
  <c r="N70" i="21"/>
  <c r="O70" i="21" s="1"/>
  <c r="I71" i="21"/>
  <c r="Q70" i="21" l="1"/>
  <c r="N71" i="21"/>
  <c r="O71" i="21" s="1"/>
  <c r="I72" i="21"/>
  <c r="Q71" i="21" l="1"/>
  <c r="N72" i="21"/>
  <c r="O72" i="21" s="1"/>
  <c r="I73" i="21"/>
  <c r="Q72" i="21" l="1"/>
  <c r="N73" i="21"/>
  <c r="O73" i="21" s="1"/>
  <c r="I74" i="21"/>
  <c r="Q73" i="21" l="1"/>
  <c r="N74" i="21"/>
  <c r="O74" i="21" s="1"/>
  <c r="I75" i="21"/>
  <c r="Q74" i="21" l="1"/>
  <c r="N75" i="21"/>
  <c r="O75" i="21" s="1"/>
  <c r="I76" i="21"/>
  <c r="Q75" i="21" l="1"/>
  <c r="N76" i="21"/>
  <c r="O76" i="21" s="1"/>
  <c r="I77" i="21"/>
  <c r="Q76" i="21" l="1"/>
  <c r="N77" i="21"/>
  <c r="O77" i="21" s="1"/>
  <c r="I78" i="21"/>
  <c r="Q77" i="21" l="1"/>
  <c r="N78" i="21"/>
  <c r="O78" i="21" s="1"/>
  <c r="I79" i="21"/>
  <c r="Q78" i="21" l="1"/>
  <c r="N79" i="21"/>
  <c r="O79" i="21" s="1"/>
  <c r="I80" i="21"/>
  <c r="Q79" i="21" l="1"/>
  <c r="N80" i="21"/>
  <c r="O80" i="21" s="1"/>
  <c r="I81" i="21"/>
  <c r="Q80" i="21" l="1"/>
  <c r="N81" i="21"/>
  <c r="O81" i="21" s="1"/>
  <c r="Q81" i="21" s="1"/>
  <c r="I82" i="21"/>
  <c r="N82" i="21" l="1"/>
  <c r="O82" i="21" s="1"/>
  <c r="Q82" i="21" s="1"/>
  <c r="I83" i="21"/>
  <c r="N83" i="21" l="1"/>
  <c r="O83" i="21" s="1"/>
  <c r="Q83" i="21" s="1"/>
  <c r="I84" i="21"/>
  <c r="N84" i="21" l="1"/>
  <c r="O84" i="21" s="1"/>
  <c r="Q84" i="21" s="1"/>
  <c r="I85" i="21"/>
  <c r="N85" i="21" l="1"/>
  <c r="O85" i="21" s="1"/>
  <c r="Q85" i="21" s="1"/>
  <c r="I86" i="21"/>
  <c r="N86" i="21" l="1"/>
  <c r="O86" i="21" s="1"/>
  <c r="Q86" i="21" s="1"/>
  <c r="I87" i="21"/>
  <c r="N87" i="21" l="1"/>
  <c r="O87" i="21" s="1"/>
  <c r="Q87" i="21" s="1"/>
  <c r="I88" i="21"/>
  <c r="N88" i="21" l="1"/>
  <c r="O88" i="21" s="1"/>
  <c r="Q88" i="21" s="1"/>
  <c r="I89" i="21"/>
  <c r="N89" i="21" l="1"/>
  <c r="O89" i="21" s="1"/>
  <c r="Q89" i="21" s="1"/>
  <c r="I90" i="21"/>
  <c r="N90" i="21" l="1"/>
  <c r="O90" i="21" s="1"/>
  <c r="Q90" i="21" s="1"/>
  <c r="I91" i="21"/>
  <c r="N91" i="21" l="1"/>
  <c r="O91" i="21" s="1"/>
  <c r="Q91" i="21" s="1"/>
  <c r="I92" i="21"/>
  <c r="N92" i="21" l="1"/>
  <c r="O92" i="21" s="1"/>
  <c r="Q92" i="21" s="1"/>
  <c r="I93" i="21"/>
  <c r="N93" i="21" l="1"/>
  <c r="O93" i="21" s="1"/>
  <c r="Q93" i="21" s="1"/>
  <c r="I94" i="21"/>
  <c r="N94" i="21" l="1"/>
  <c r="O94" i="21" s="1"/>
  <c r="Q94" i="21" s="1"/>
  <c r="I95" i="21"/>
  <c r="N95" i="21" l="1"/>
  <c r="O95" i="21" s="1"/>
  <c r="Q95" i="21" s="1"/>
  <c r="I96" i="21"/>
  <c r="N96" i="21" l="1"/>
  <c r="O96" i="21" s="1"/>
  <c r="Q96" i="21" s="1"/>
  <c r="I97" i="21"/>
  <c r="N97" i="21" l="1"/>
  <c r="O97" i="21" s="1"/>
  <c r="Q97" i="21" s="1"/>
  <c r="I98" i="21"/>
  <c r="N98" i="21" l="1"/>
  <c r="O98" i="21" s="1"/>
  <c r="Q98" i="21" s="1"/>
  <c r="I99" i="21"/>
  <c r="N99" i="21" l="1"/>
  <c r="O99" i="21" s="1"/>
  <c r="Q99" i="21" s="1"/>
  <c r="I100" i="21"/>
  <c r="N100" i="21" l="1"/>
  <c r="O100" i="21" s="1"/>
  <c r="Q100" i="21" s="1"/>
  <c r="I101" i="21"/>
  <c r="N101" i="21" l="1"/>
  <c r="O101" i="21" s="1"/>
  <c r="Q101" i="21" s="1"/>
  <c r="I102" i="21"/>
  <c r="N102" i="21" l="1"/>
  <c r="O102" i="21" s="1"/>
  <c r="Q102" i="21" s="1"/>
  <c r="I103" i="21"/>
  <c r="N103" i="21" l="1"/>
  <c r="O103" i="21" s="1"/>
  <c r="Q103" i="21" s="1"/>
  <c r="I104" i="21"/>
  <c r="N104" i="21" l="1"/>
  <c r="O104" i="21" s="1"/>
  <c r="Q104" i="21" s="1"/>
  <c r="I105" i="21"/>
  <c r="N105" i="21" l="1"/>
  <c r="O105" i="21" s="1"/>
  <c r="Q105" i="21" s="1"/>
  <c r="I106" i="21"/>
  <c r="N106" i="21" l="1"/>
  <c r="O106" i="21" s="1"/>
  <c r="Q106" i="21" s="1"/>
  <c r="I107" i="21"/>
  <c r="N107" i="21" l="1"/>
  <c r="O107" i="21" s="1"/>
  <c r="Q107" i="21" s="1"/>
  <c r="I108" i="21"/>
  <c r="N108" i="21" l="1"/>
  <c r="O108" i="21" s="1"/>
  <c r="Q108" i="21" s="1"/>
  <c r="I109" i="21"/>
  <c r="N109" i="21" l="1"/>
  <c r="O109" i="21" s="1"/>
  <c r="Q109" i="21" s="1"/>
  <c r="I110" i="21"/>
  <c r="N110" i="21" l="1"/>
  <c r="O110" i="21" s="1"/>
  <c r="I111" i="21"/>
  <c r="Q110" i="21" l="1"/>
  <c r="N111" i="21"/>
  <c r="O111" i="21" s="1"/>
  <c r="I112" i="21"/>
  <c r="Q111" i="21" l="1"/>
  <c r="N112" i="21"/>
  <c r="O112" i="21" s="1"/>
  <c r="I113" i="21"/>
  <c r="Q112" i="21" l="1"/>
  <c r="N113" i="21"/>
  <c r="O113" i="21" s="1"/>
  <c r="I114" i="21"/>
  <c r="Q113" i="21" l="1"/>
  <c r="N114" i="21"/>
  <c r="O114" i="21" s="1"/>
  <c r="I115" i="21"/>
  <c r="N115" i="21" l="1"/>
  <c r="O115" i="21" s="1"/>
  <c r="I116" i="21"/>
  <c r="Q114" i="21"/>
  <c r="N116" i="21" l="1"/>
  <c r="O116" i="21" s="1"/>
  <c r="I117" i="21"/>
  <c r="Q115" i="21"/>
  <c r="N117" i="21" l="1"/>
  <c r="O117" i="21" s="1"/>
  <c r="I118" i="21"/>
  <c r="Q116" i="21"/>
  <c r="N118" i="21" l="1"/>
  <c r="O118" i="21" s="1"/>
  <c r="I119" i="21"/>
  <c r="Q117" i="21"/>
  <c r="N119" i="21" l="1"/>
  <c r="O119" i="21" s="1"/>
  <c r="I120" i="21"/>
  <c r="Q118" i="21"/>
  <c r="N120" i="21" l="1"/>
  <c r="O120" i="21" s="1"/>
  <c r="I121" i="21"/>
  <c r="Q119" i="21"/>
  <c r="N121" i="21" l="1"/>
  <c r="O121" i="21" s="1"/>
  <c r="I122" i="21"/>
  <c r="Q120" i="21"/>
  <c r="N122" i="21" l="1"/>
  <c r="O122" i="21" s="1"/>
  <c r="I123" i="21"/>
  <c r="Q121" i="21"/>
  <c r="N123" i="21" l="1"/>
  <c r="O123" i="21" s="1"/>
  <c r="I124" i="21"/>
  <c r="Q122" i="21"/>
  <c r="N124" i="21" l="1"/>
  <c r="O124" i="21" s="1"/>
  <c r="I125" i="21"/>
  <c r="Q123" i="21"/>
  <c r="N125" i="21" l="1"/>
  <c r="O125" i="21" s="1"/>
  <c r="I126" i="21"/>
  <c r="Q124" i="21"/>
  <c r="N126" i="21" l="1"/>
  <c r="O126" i="21" s="1"/>
  <c r="I127" i="21"/>
  <c r="Q125" i="21"/>
  <c r="N127" i="21" l="1"/>
  <c r="O127" i="21" s="1"/>
  <c r="I128" i="21"/>
  <c r="Q126" i="21"/>
  <c r="N128" i="21" l="1"/>
  <c r="O128" i="21" s="1"/>
  <c r="I129" i="21"/>
  <c r="Q127" i="21"/>
  <c r="N129" i="21" l="1"/>
  <c r="O129" i="21" s="1"/>
  <c r="I130" i="21"/>
  <c r="Q128" i="21"/>
  <c r="Q129" i="21" l="1"/>
  <c r="N130" i="21"/>
  <c r="O130" i="21" s="1"/>
  <c r="I131" i="21"/>
  <c r="N131" i="21" l="1"/>
  <c r="O131" i="21" s="1"/>
  <c r="I132" i="21"/>
  <c r="Q130" i="21"/>
  <c r="N132" i="21" l="1"/>
  <c r="O132" i="21" s="1"/>
  <c r="I133" i="21"/>
  <c r="Q131" i="21"/>
  <c r="Q132" i="21" l="1"/>
  <c r="N133" i="21"/>
  <c r="O133" i="21" s="1"/>
  <c r="I134" i="21"/>
  <c r="N134" i="21" l="1"/>
  <c r="O134" i="21" s="1"/>
  <c r="I135" i="21"/>
  <c r="Q133" i="21"/>
  <c r="N135" i="21" l="1"/>
  <c r="O135" i="21" s="1"/>
  <c r="I136" i="21"/>
  <c r="Q134" i="21"/>
  <c r="Q135" i="21" l="1"/>
  <c r="N136" i="21"/>
  <c r="O136" i="21" s="1"/>
  <c r="I137" i="21"/>
  <c r="N137" i="21" l="1"/>
  <c r="O137" i="21" s="1"/>
  <c r="I138" i="21"/>
  <c r="Q136" i="21"/>
  <c r="N138" i="21" l="1"/>
  <c r="O138" i="21" s="1"/>
  <c r="I139" i="21"/>
  <c r="Q137" i="21"/>
  <c r="Q138" i="21" l="1"/>
  <c r="N139" i="21"/>
  <c r="O139" i="21" s="1"/>
  <c r="I140" i="21"/>
  <c r="N140" i="21" l="1"/>
  <c r="O140" i="21" s="1"/>
  <c r="I141" i="21"/>
  <c r="Q139" i="21"/>
  <c r="Q140" i="21" l="1"/>
  <c r="N141" i="21"/>
  <c r="O141" i="21" s="1"/>
  <c r="I142" i="21"/>
  <c r="N142" i="21" l="1"/>
  <c r="O142" i="21" s="1"/>
  <c r="I143" i="21"/>
  <c r="Q141" i="21"/>
  <c r="N143" i="21" l="1"/>
  <c r="O143" i="21" s="1"/>
  <c r="I144" i="21"/>
  <c r="Q142" i="21"/>
  <c r="Q143" i="21" l="1"/>
  <c r="N144" i="21"/>
  <c r="O144" i="21" s="1"/>
  <c r="I145" i="21"/>
  <c r="N145" i="21" l="1"/>
  <c r="O145" i="21" s="1"/>
  <c r="I146" i="21"/>
  <c r="Q144" i="21"/>
  <c r="N146" i="21" l="1"/>
  <c r="O146" i="21" s="1"/>
  <c r="I147" i="21"/>
  <c r="Q145" i="21"/>
  <c r="Q146" i="21" l="1"/>
  <c r="N147" i="21"/>
  <c r="O147" i="21" s="1"/>
  <c r="I148" i="21"/>
  <c r="N148" i="21" l="1"/>
  <c r="O148" i="21" s="1"/>
  <c r="I149" i="21"/>
  <c r="Q147" i="21"/>
  <c r="N149" i="21" l="1"/>
  <c r="O149" i="21" s="1"/>
  <c r="I150" i="21"/>
  <c r="Q148" i="21"/>
  <c r="Q149" i="21" l="1"/>
  <c r="N150" i="21"/>
  <c r="O150" i="21" s="1"/>
  <c r="I151" i="21"/>
  <c r="N151" i="21" l="1"/>
  <c r="O151" i="21" s="1"/>
  <c r="I152" i="21"/>
  <c r="Q150" i="21"/>
  <c r="N152" i="21" l="1"/>
  <c r="O152" i="21" s="1"/>
  <c r="I153" i="21"/>
  <c r="Q151" i="21"/>
  <c r="Q152" i="21" l="1"/>
  <c r="N153" i="21"/>
  <c r="O153" i="21" s="1"/>
  <c r="I154" i="21"/>
  <c r="N154" i="21" l="1"/>
  <c r="O154" i="21" s="1"/>
  <c r="I155" i="21"/>
  <c r="Q153" i="21"/>
  <c r="N155" i="21" l="1"/>
  <c r="O155" i="21" s="1"/>
  <c r="I156" i="21"/>
  <c r="Q154" i="21"/>
  <c r="Q155" i="21" l="1"/>
  <c r="N156" i="21"/>
  <c r="O156" i="21" s="1"/>
  <c r="I157" i="21"/>
  <c r="N157" i="21" l="1"/>
  <c r="O157" i="21" s="1"/>
  <c r="I158" i="21"/>
  <c r="Q156" i="21"/>
  <c r="N158" i="21" l="1"/>
  <c r="O158" i="21" s="1"/>
  <c r="I159" i="21"/>
  <c r="Q157" i="21"/>
  <c r="N159" i="21" l="1"/>
  <c r="O159" i="21" s="1"/>
  <c r="I160" i="21"/>
  <c r="Q158" i="21"/>
  <c r="Q159" i="21" l="1"/>
  <c r="N160" i="21"/>
  <c r="O160" i="21" s="1"/>
  <c r="I161" i="21"/>
  <c r="N161" i="21" l="1"/>
  <c r="O161" i="21" s="1"/>
  <c r="I162" i="21"/>
  <c r="Q160" i="21"/>
  <c r="N162" i="21" l="1"/>
  <c r="O162" i="21" s="1"/>
  <c r="I163" i="21"/>
  <c r="Q161" i="21"/>
  <c r="N163" i="21" l="1"/>
  <c r="O163" i="21" s="1"/>
  <c r="I164" i="21"/>
  <c r="Q162" i="21"/>
  <c r="Q163" i="21" l="1"/>
  <c r="N164" i="21"/>
  <c r="O164" i="21" s="1"/>
  <c r="I165" i="21"/>
  <c r="N165" i="21" l="1"/>
  <c r="O165" i="21" s="1"/>
  <c r="I166" i="21"/>
  <c r="Q164" i="21"/>
  <c r="N166" i="21" l="1"/>
  <c r="O166" i="21" s="1"/>
  <c r="I167" i="21"/>
  <c r="Q165" i="21"/>
  <c r="Q166" i="21" l="1"/>
  <c r="N167" i="21"/>
  <c r="O167" i="21" s="1"/>
  <c r="I168" i="21"/>
  <c r="N168" i="21" l="1"/>
  <c r="O168" i="21" s="1"/>
  <c r="I169" i="21"/>
  <c r="Q167" i="21"/>
  <c r="N169" i="21" l="1"/>
  <c r="O169" i="21" s="1"/>
  <c r="I170" i="21"/>
  <c r="Q168" i="21"/>
  <c r="Q169" i="21" l="1"/>
  <c r="N170" i="21"/>
  <c r="O170" i="21" s="1"/>
  <c r="I171" i="21"/>
  <c r="N171" i="21" l="1"/>
  <c r="O171" i="21" s="1"/>
  <c r="I172" i="21"/>
  <c r="Q170" i="21"/>
  <c r="N172" i="21" l="1"/>
  <c r="O172" i="21" s="1"/>
  <c r="I173" i="21"/>
  <c r="Q171" i="21"/>
  <c r="Q172" i="21" l="1"/>
  <c r="N173" i="21"/>
  <c r="O173" i="21" s="1"/>
  <c r="I174" i="21"/>
  <c r="N174" i="21" l="1"/>
  <c r="O174" i="21" s="1"/>
  <c r="I175" i="21"/>
  <c r="Q173" i="21"/>
  <c r="N175" i="21" l="1"/>
  <c r="O175" i="21" s="1"/>
  <c r="I176" i="21"/>
  <c r="Q174" i="21"/>
  <c r="Q175" i="21" l="1"/>
  <c r="N176" i="21"/>
  <c r="O176" i="21" s="1"/>
  <c r="I177" i="21"/>
  <c r="N177" i="21" l="1"/>
  <c r="O177" i="21" s="1"/>
  <c r="I178" i="21"/>
  <c r="Q176" i="21"/>
  <c r="H4" i="21" l="1"/>
  <c r="H2" i="21"/>
  <c r="N178" i="21"/>
  <c r="O178" i="21" s="1"/>
  <c r="I179" i="21"/>
  <c r="Q177" i="21"/>
  <c r="I4" i="21" l="1"/>
  <c r="I2" i="21"/>
  <c r="Q178" i="21"/>
  <c r="N179" i="21"/>
  <c r="O179" i="21" s="1"/>
  <c r="I180" i="21"/>
  <c r="N180" i="21" l="1"/>
  <c r="O180" i="21" s="1"/>
  <c r="I181" i="21"/>
  <c r="Q179" i="21"/>
  <c r="N181" i="21" l="1"/>
  <c r="O181" i="21" s="1"/>
  <c r="I182" i="21"/>
  <c r="Q180" i="21"/>
  <c r="Q181" i="21" l="1"/>
  <c r="N182" i="21"/>
  <c r="O182" i="21" s="1"/>
  <c r="I183" i="21"/>
  <c r="N183" i="21" l="1"/>
  <c r="O183" i="21" s="1"/>
  <c r="I184" i="21"/>
  <c r="Q182" i="21"/>
  <c r="N184" i="21" l="1"/>
  <c r="O184" i="21" s="1"/>
  <c r="I185" i="21"/>
  <c r="Q183" i="21"/>
  <c r="Q184" i="21" l="1"/>
  <c r="N185" i="21"/>
  <c r="O185" i="21" s="1"/>
  <c r="I186" i="21"/>
  <c r="N186" i="21" l="1"/>
  <c r="O186" i="21" s="1"/>
  <c r="I187" i="21"/>
  <c r="Q185" i="21"/>
  <c r="N187" i="21" l="1"/>
  <c r="O187" i="21" s="1"/>
  <c r="I188" i="21"/>
  <c r="Q186" i="21"/>
  <c r="N188" i="21" l="1"/>
  <c r="O188" i="21" s="1"/>
  <c r="I189" i="21"/>
  <c r="Q187" i="21"/>
  <c r="Q188" i="21" l="1"/>
  <c r="N189" i="21"/>
  <c r="O189" i="21" s="1"/>
  <c r="I190" i="21"/>
  <c r="N190" i="21" l="1"/>
  <c r="O190" i="21" s="1"/>
  <c r="I191" i="21"/>
  <c r="Q189" i="21"/>
  <c r="N191" i="21" l="1"/>
  <c r="O191" i="21" s="1"/>
  <c r="I192" i="21"/>
  <c r="Q190" i="21"/>
  <c r="Q191" i="21" l="1"/>
  <c r="N192" i="21"/>
  <c r="O192" i="21" s="1"/>
  <c r="I193" i="21"/>
  <c r="N193" i="21" l="1"/>
  <c r="O193" i="21" s="1"/>
  <c r="I194" i="21"/>
  <c r="Q192" i="21"/>
  <c r="N194" i="21" l="1"/>
  <c r="O194" i="21" s="1"/>
  <c r="I195" i="21"/>
  <c r="Q193" i="21"/>
  <c r="N195" i="21" l="1"/>
  <c r="O195" i="21" s="1"/>
  <c r="I196" i="21"/>
  <c r="Q194" i="21"/>
  <c r="N196" i="21" l="1"/>
  <c r="O196" i="21" s="1"/>
  <c r="I197" i="21"/>
  <c r="Q195" i="21"/>
  <c r="N197" i="21" l="1"/>
  <c r="O197" i="21" s="1"/>
  <c r="I198" i="21"/>
  <c r="Q196" i="21"/>
  <c r="N198" i="21" l="1"/>
  <c r="O198" i="21" s="1"/>
  <c r="I199" i="21"/>
  <c r="Q197" i="21"/>
  <c r="N199" i="21" l="1"/>
  <c r="O199" i="21" s="1"/>
  <c r="I200" i="21"/>
  <c r="Q198" i="21"/>
  <c r="N200" i="21" l="1"/>
  <c r="O200" i="21" s="1"/>
  <c r="I201" i="21"/>
  <c r="Q199" i="21"/>
  <c r="Q200" i="21" l="1"/>
  <c r="N201" i="21"/>
  <c r="O201" i="21" s="1"/>
  <c r="I202" i="21"/>
  <c r="N202" i="21" l="1"/>
  <c r="O202" i="21" s="1"/>
  <c r="I203" i="21"/>
  <c r="Q201" i="21"/>
  <c r="N203" i="21" l="1"/>
  <c r="O203" i="21" s="1"/>
  <c r="I204" i="21"/>
  <c r="Q202" i="21"/>
  <c r="N204" i="21" l="1"/>
  <c r="O204" i="21" s="1"/>
  <c r="I205" i="21"/>
  <c r="Q203" i="21"/>
  <c r="N205" i="21" l="1"/>
  <c r="O205" i="21" s="1"/>
  <c r="I206" i="21"/>
  <c r="Q204" i="21"/>
  <c r="Q205" i="21" l="1"/>
  <c r="N206" i="21"/>
  <c r="O206" i="21" s="1"/>
  <c r="I207" i="21"/>
  <c r="N207" i="21" l="1"/>
  <c r="O207" i="21" s="1"/>
  <c r="I208" i="21"/>
  <c r="Q206" i="21"/>
  <c r="N208" i="21" l="1"/>
  <c r="O208" i="21" s="1"/>
  <c r="I209" i="21"/>
  <c r="Q207" i="21"/>
  <c r="Q208" i="21" l="1"/>
  <c r="N209" i="21"/>
  <c r="O209" i="21" s="1"/>
  <c r="I210" i="21"/>
  <c r="N210" i="21" l="1"/>
  <c r="O210" i="21" s="1"/>
  <c r="Q209" i="21"/>
  <c r="H3" i="21" l="1"/>
  <c r="Q210" i="21"/>
  <c r="I3" i="21" s="1"/>
  <c r="L3" i="21" s="1"/>
  <c r="L4" i="21" l="1"/>
  <c r="R18" i="21" s="1"/>
  <c r="P23" i="21"/>
  <c r="P15" i="21"/>
  <c r="P47" i="21"/>
  <c r="P63" i="21"/>
  <c r="P79" i="21"/>
  <c r="P103" i="21"/>
  <c r="P127" i="21"/>
  <c r="P135" i="21"/>
  <c r="P143" i="21"/>
  <c r="P167" i="21"/>
  <c r="P175" i="21"/>
  <c r="P191" i="21"/>
  <c r="P207" i="21"/>
  <c r="P24" i="21"/>
  <c r="P32" i="21"/>
  <c r="P40" i="21"/>
  <c r="P56" i="21"/>
  <c r="P64" i="21"/>
  <c r="P72" i="21"/>
  <c r="P88" i="21"/>
  <c r="P96" i="21"/>
  <c r="P104" i="21"/>
  <c r="P120" i="21"/>
  <c r="P128" i="21"/>
  <c r="P136" i="21"/>
  <c r="P13" i="21"/>
  <c r="P21" i="21"/>
  <c r="P29" i="21"/>
  <c r="P45" i="21"/>
  <c r="P53" i="21"/>
  <c r="P61" i="21"/>
  <c r="P77" i="21"/>
  <c r="P85" i="21"/>
  <c r="P93" i="21"/>
  <c r="P109" i="21"/>
  <c r="P117" i="21"/>
  <c r="P125" i="21"/>
  <c r="P141" i="21"/>
  <c r="P149" i="21"/>
  <c r="P157" i="21"/>
  <c r="P173" i="21"/>
  <c r="P181" i="21"/>
  <c r="P189" i="21"/>
  <c r="P205" i="21"/>
  <c r="P10" i="21"/>
  <c r="P18" i="21"/>
  <c r="P34" i="21"/>
  <c r="P42" i="21"/>
  <c r="P50" i="21"/>
  <c r="P66" i="21"/>
  <c r="P74" i="21"/>
  <c r="P82" i="21"/>
  <c r="P90" i="21"/>
  <c r="P98" i="21"/>
  <c r="P106" i="21"/>
  <c r="P114" i="21"/>
  <c r="P122" i="21"/>
  <c r="P130" i="21"/>
  <c r="P156" i="21"/>
  <c r="P172" i="21"/>
  <c r="P188" i="21"/>
  <c r="P204" i="21"/>
  <c r="P134" i="21"/>
  <c r="P158" i="21"/>
  <c r="P174" i="21"/>
  <c r="P190" i="21"/>
  <c r="P206" i="21"/>
  <c r="P152" i="21"/>
  <c r="P168" i="21"/>
  <c r="P184" i="21"/>
  <c r="P200" i="21"/>
  <c r="P142" i="21"/>
  <c r="P162" i="21"/>
  <c r="P178" i="21"/>
  <c r="P194" i="21"/>
  <c r="R105" i="21" l="1"/>
  <c r="R148" i="21"/>
  <c r="R133" i="21"/>
  <c r="R69" i="21"/>
  <c r="R125" i="21"/>
  <c r="S125" i="21" s="1"/>
  <c r="R157" i="21"/>
  <c r="S157" i="21" s="1"/>
  <c r="R68" i="21"/>
  <c r="R24" i="21"/>
  <c r="S24" i="21" s="1"/>
  <c r="R81" i="21"/>
  <c r="R41" i="21"/>
  <c r="R199" i="21"/>
  <c r="R177" i="21"/>
  <c r="R169" i="21"/>
  <c r="R132" i="21"/>
  <c r="R127" i="21"/>
  <c r="S127" i="21" s="1"/>
  <c r="R197" i="21"/>
  <c r="R113" i="21"/>
  <c r="R93" i="21"/>
  <c r="S93" i="21" s="1"/>
  <c r="R196" i="21"/>
  <c r="R56" i="21"/>
  <c r="S56" i="21" s="1"/>
  <c r="R115" i="21"/>
  <c r="R209" i="21"/>
  <c r="R49" i="21"/>
  <c r="R201" i="21"/>
  <c r="R13" i="21"/>
  <c r="S13" i="21" s="1"/>
  <c r="R116" i="21"/>
  <c r="R207" i="21"/>
  <c r="S207" i="21" s="1"/>
  <c r="R51" i="21"/>
  <c r="R159" i="21"/>
  <c r="R200" i="21"/>
  <c r="S200" i="21" s="1"/>
  <c r="R40" i="21"/>
  <c r="S40" i="21" s="1"/>
  <c r="R175" i="21"/>
  <c r="S175" i="21" s="1"/>
  <c r="R71" i="21"/>
  <c r="R167" i="21"/>
  <c r="S167" i="21" s="1"/>
  <c r="R95" i="21"/>
  <c r="R176" i="21"/>
  <c r="R39" i="21"/>
  <c r="R120" i="21"/>
  <c r="S120" i="21" s="1"/>
  <c r="R101" i="21"/>
  <c r="R145" i="21"/>
  <c r="R189" i="21"/>
  <c r="S189" i="21" s="1"/>
  <c r="R181" i="21"/>
  <c r="S181" i="21" s="1"/>
  <c r="R73" i="21"/>
  <c r="R180" i="21"/>
  <c r="R84" i="21"/>
  <c r="R32" i="21"/>
  <c r="S32" i="21" s="1"/>
  <c r="R191" i="21"/>
  <c r="S191" i="21" s="1"/>
  <c r="R135" i="21"/>
  <c r="S135" i="21" s="1"/>
  <c r="R83" i="21"/>
  <c r="R31" i="21"/>
  <c r="R190" i="21"/>
  <c r="R146" i="21"/>
  <c r="R61" i="21"/>
  <c r="S61" i="21" s="1"/>
  <c r="R137" i="21"/>
  <c r="R25" i="21"/>
  <c r="R164" i="21"/>
  <c r="R100" i="21"/>
  <c r="R48" i="21"/>
  <c r="R16" i="21"/>
  <c r="R183" i="21"/>
  <c r="R147" i="21"/>
  <c r="R103" i="21"/>
  <c r="S103" i="21" s="1"/>
  <c r="R63" i="21"/>
  <c r="S63" i="21" s="1"/>
  <c r="R11" i="21"/>
  <c r="R60" i="21"/>
  <c r="R117" i="21"/>
  <c r="S117" i="21" s="1"/>
  <c r="R53" i="21"/>
  <c r="S53" i="21" s="1"/>
  <c r="R161" i="21"/>
  <c r="R97" i="21"/>
  <c r="R205" i="21"/>
  <c r="S205" i="21" s="1"/>
  <c r="R141" i="21"/>
  <c r="S141" i="21" s="1"/>
  <c r="R77" i="21"/>
  <c r="S77" i="21" s="1"/>
  <c r="R149" i="21"/>
  <c r="S149" i="21" s="1"/>
  <c r="R153" i="21"/>
  <c r="R89" i="21"/>
  <c r="R33" i="21"/>
  <c r="R204" i="21"/>
  <c r="S204" i="21" s="1"/>
  <c r="R172" i="21"/>
  <c r="S172" i="21" s="1"/>
  <c r="R140" i="21"/>
  <c r="R108" i="21"/>
  <c r="R76" i="21"/>
  <c r="R52" i="21"/>
  <c r="R36" i="21"/>
  <c r="R20" i="21"/>
  <c r="R203" i="21"/>
  <c r="R187" i="21"/>
  <c r="R171" i="21"/>
  <c r="R151" i="21"/>
  <c r="R131" i="21"/>
  <c r="R111" i="21"/>
  <c r="R87" i="21"/>
  <c r="R67" i="21"/>
  <c r="R47" i="21"/>
  <c r="S47" i="21" s="1"/>
  <c r="R23" i="21"/>
  <c r="S23" i="21" s="1"/>
  <c r="R192" i="21"/>
  <c r="R88" i="21"/>
  <c r="S88" i="21" s="1"/>
  <c r="R162" i="21"/>
  <c r="S162" i="21" s="1"/>
  <c r="R165" i="21"/>
  <c r="R85" i="21"/>
  <c r="S85" i="21" s="1"/>
  <c r="R193" i="21"/>
  <c r="R129" i="21"/>
  <c r="R65" i="21"/>
  <c r="R173" i="21"/>
  <c r="S173" i="21" s="1"/>
  <c r="R109" i="21"/>
  <c r="S109" i="21" s="1"/>
  <c r="R45" i="21"/>
  <c r="S45" i="21" s="1"/>
  <c r="R185" i="21"/>
  <c r="R121" i="21"/>
  <c r="R57" i="21"/>
  <c r="R21" i="21"/>
  <c r="S21" i="21" s="1"/>
  <c r="R188" i="21"/>
  <c r="S188" i="21" s="1"/>
  <c r="R156" i="21"/>
  <c r="S156" i="21" s="1"/>
  <c r="R124" i="21"/>
  <c r="G24" i="20" s="1"/>
  <c r="R92" i="21"/>
  <c r="R64" i="21"/>
  <c r="S64" i="21" s="1"/>
  <c r="R44" i="21"/>
  <c r="R28" i="21"/>
  <c r="R12" i="21"/>
  <c r="R195" i="21"/>
  <c r="R179" i="21"/>
  <c r="R163" i="21"/>
  <c r="R143" i="21"/>
  <c r="S143" i="21" s="1"/>
  <c r="R119" i="21"/>
  <c r="R99" i="21"/>
  <c r="R79" i="21"/>
  <c r="S79" i="21" s="1"/>
  <c r="R55" i="21"/>
  <c r="R35" i="21"/>
  <c r="R37" i="21"/>
  <c r="R128" i="21"/>
  <c r="S128" i="21" s="1"/>
  <c r="R194" i="21"/>
  <c r="S194" i="21" s="1"/>
  <c r="R142" i="21"/>
  <c r="S142" i="21" s="1"/>
  <c r="R155" i="21"/>
  <c r="R139" i="21"/>
  <c r="R123" i="21"/>
  <c r="R107" i="21"/>
  <c r="R91" i="21"/>
  <c r="R75" i="21"/>
  <c r="R59" i="21"/>
  <c r="R43" i="21"/>
  <c r="R27" i="21"/>
  <c r="R29" i="21"/>
  <c r="S29" i="21" s="1"/>
  <c r="R152" i="21"/>
  <c r="S152" i="21" s="1"/>
  <c r="R80" i="21"/>
  <c r="R174" i="21"/>
  <c r="R110" i="21"/>
  <c r="R86" i="21"/>
  <c r="R118" i="21"/>
  <c r="R19" i="21"/>
  <c r="R208" i="21"/>
  <c r="R160" i="21"/>
  <c r="R112" i="21"/>
  <c r="R206" i="21"/>
  <c r="S206" i="21" s="1"/>
  <c r="R166" i="21"/>
  <c r="R130" i="21"/>
  <c r="S130" i="21" s="1"/>
  <c r="R82" i="21"/>
  <c r="S82" i="21" s="1"/>
  <c r="R102" i="21"/>
  <c r="R62" i="21"/>
  <c r="R15" i="21"/>
  <c r="S15" i="21" s="1"/>
  <c r="R17" i="21"/>
  <c r="R184" i="21"/>
  <c r="S184" i="21" s="1"/>
  <c r="R144" i="21"/>
  <c r="R96" i="21"/>
  <c r="S96" i="21" s="1"/>
  <c r="R210" i="21"/>
  <c r="R182" i="21"/>
  <c r="R150" i="21"/>
  <c r="R126" i="21"/>
  <c r="R98" i="21"/>
  <c r="S98" i="21" s="1"/>
  <c r="R58" i="21"/>
  <c r="R78" i="21"/>
  <c r="R42" i="21"/>
  <c r="S42" i="21" s="1"/>
  <c r="R168" i="21"/>
  <c r="S168" i="21" s="1"/>
  <c r="R136" i="21"/>
  <c r="S136" i="21" s="1"/>
  <c r="R104" i="21"/>
  <c r="S104" i="21" s="1"/>
  <c r="R72" i="21"/>
  <c r="R198" i="21"/>
  <c r="R178" i="21"/>
  <c r="S178" i="21" s="1"/>
  <c r="R158" i="21"/>
  <c r="S158" i="21" s="1"/>
  <c r="R134" i="21"/>
  <c r="S134" i="21" s="1"/>
  <c r="R114" i="21"/>
  <c r="S114" i="21" s="1"/>
  <c r="R94" i="21"/>
  <c r="R70" i="21"/>
  <c r="R38" i="21"/>
  <c r="R46" i="21"/>
  <c r="R202" i="21"/>
  <c r="R186" i="21"/>
  <c r="R170" i="21"/>
  <c r="R154" i="21"/>
  <c r="R138" i="21"/>
  <c r="R122" i="21"/>
  <c r="S122" i="21" s="1"/>
  <c r="R106" i="21"/>
  <c r="S106" i="21" s="1"/>
  <c r="R90" i="21"/>
  <c r="S90" i="21" s="1"/>
  <c r="R74" i="21"/>
  <c r="S74" i="21" s="1"/>
  <c r="R54" i="21"/>
  <c r="R26" i="21"/>
  <c r="R22" i="21"/>
  <c r="R30" i="21"/>
  <c r="R66" i="21"/>
  <c r="S66" i="21" s="1"/>
  <c r="R50" i="21"/>
  <c r="S50" i="21" s="1"/>
  <c r="R34" i="21"/>
  <c r="S34" i="21" s="1"/>
  <c r="R14" i="21"/>
  <c r="R10" i="21"/>
  <c r="S72" i="21"/>
  <c r="P95" i="21"/>
  <c r="P39" i="21"/>
  <c r="P199" i="21"/>
  <c r="P159" i="21"/>
  <c r="S159" i="21" s="1"/>
  <c r="P111" i="21"/>
  <c r="S111" i="21" s="1"/>
  <c r="P71" i="21"/>
  <c r="P31" i="21"/>
  <c r="P58" i="21"/>
  <c r="P26" i="21"/>
  <c r="P197" i="21"/>
  <c r="P165" i="21"/>
  <c r="P133" i="21"/>
  <c r="P101" i="21"/>
  <c r="P69" i="21"/>
  <c r="P37" i="21"/>
  <c r="P144" i="21"/>
  <c r="P112" i="21"/>
  <c r="S112" i="21" s="1"/>
  <c r="P80" i="21"/>
  <c r="P48" i="21"/>
  <c r="P16" i="21"/>
  <c r="P183" i="21"/>
  <c r="P151" i="21"/>
  <c r="P119" i="21"/>
  <c r="P87" i="21"/>
  <c r="P55" i="21"/>
  <c r="P19" i="21"/>
  <c r="P35" i="21"/>
  <c r="P51" i="21"/>
  <c r="P67" i="21"/>
  <c r="P83" i="21"/>
  <c r="P99" i="21"/>
  <c r="P115" i="21"/>
  <c r="P131" i="21"/>
  <c r="P147" i="21"/>
  <c r="P163" i="21"/>
  <c r="S163" i="21" s="1"/>
  <c r="P179" i="21"/>
  <c r="P195" i="21"/>
  <c r="S195" i="21" s="1"/>
  <c r="P12" i="21"/>
  <c r="P28" i="21"/>
  <c r="S28" i="21" s="1"/>
  <c r="P44" i="21"/>
  <c r="P60" i="21"/>
  <c r="P76" i="21"/>
  <c r="P92" i="21"/>
  <c r="P108" i="21"/>
  <c r="P124" i="21"/>
  <c r="P140" i="21"/>
  <c r="S140" i="21" s="1"/>
  <c r="P17" i="21"/>
  <c r="P33" i="21"/>
  <c r="P49" i="21"/>
  <c r="P65" i="21"/>
  <c r="P81" i="21"/>
  <c r="P97" i="21"/>
  <c r="S97" i="21" s="1"/>
  <c r="P113" i="21"/>
  <c r="P129" i="21"/>
  <c r="P145" i="21"/>
  <c r="S145" i="21" s="1"/>
  <c r="P161" i="21"/>
  <c r="P177" i="21"/>
  <c r="P193" i="21"/>
  <c r="P209" i="21"/>
  <c r="P22" i="21"/>
  <c r="P38" i="21"/>
  <c r="P54" i="21"/>
  <c r="P70" i="21"/>
  <c r="S70" i="21" s="1"/>
  <c r="P86" i="21"/>
  <c r="S86" i="21" s="1"/>
  <c r="P102" i="21"/>
  <c r="P118" i="21"/>
  <c r="P146" i="21"/>
  <c r="S146" i="21" s="1"/>
  <c r="P180" i="21"/>
  <c r="P202" i="21"/>
  <c r="P166" i="21"/>
  <c r="P198" i="21"/>
  <c r="P160" i="21"/>
  <c r="P192" i="21"/>
  <c r="P154" i="21"/>
  <c r="P186" i="21"/>
  <c r="S186" i="21" s="1"/>
  <c r="P11" i="21"/>
  <c r="P27" i="21"/>
  <c r="P43" i="21"/>
  <c r="P59" i="21"/>
  <c r="P75" i="21"/>
  <c r="P91" i="21"/>
  <c r="P107" i="21"/>
  <c r="P123" i="21"/>
  <c r="P139" i="21"/>
  <c r="P155" i="21"/>
  <c r="P171" i="21"/>
  <c r="P187" i="21"/>
  <c r="P203" i="21"/>
  <c r="P20" i="21"/>
  <c r="P36" i="21"/>
  <c r="P52" i="21"/>
  <c r="P68" i="21"/>
  <c r="P84" i="21"/>
  <c r="P100" i="21"/>
  <c r="P116" i="21"/>
  <c r="P132" i="21"/>
  <c r="P148" i="21"/>
  <c r="P25" i="21"/>
  <c r="P41" i="21"/>
  <c r="P57" i="21"/>
  <c r="P73" i="21"/>
  <c r="P89" i="21"/>
  <c r="P105" i="21"/>
  <c r="P121" i="21"/>
  <c r="P137" i="21"/>
  <c r="P153" i="21"/>
  <c r="P169" i="21"/>
  <c r="P185" i="21"/>
  <c r="P201" i="21"/>
  <c r="P14" i="21"/>
  <c r="P30" i="21"/>
  <c r="P46" i="21"/>
  <c r="P62" i="21"/>
  <c r="P78" i="21"/>
  <c r="P94" i="21"/>
  <c r="P110" i="21"/>
  <c r="P126" i="21"/>
  <c r="P164" i="21"/>
  <c r="P196" i="21"/>
  <c r="P150" i="21"/>
  <c r="P182" i="21"/>
  <c r="P138" i="21"/>
  <c r="P176" i="21"/>
  <c r="P208" i="21"/>
  <c r="P170" i="21"/>
  <c r="P210" i="21"/>
  <c r="S18" i="21"/>
  <c r="S105" i="21" l="1"/>
  <c r="D51" i="20"/>
  <c r="A22" i="20"/>
  <c r="S160" i="21"/>
  <c r="M24" i="20"/>
  <c r="F24" i="20"/>
  <c r="E24" i="20"/>
  <c r="H24" i="20"/>
  <c r="S196" i="21"/>
  <c r="S201" i="21"/>
  <c r="S133" i="21"/>
  <c r="S41" i="21"/>
  <c r="S69" i="21"/>
  <c r="S81" i="21"/>
  <c r="S169" i="21"/>
  <c r="S197" i="21"/>
  <c r="S177" i="21"/>
  <c r="S113" i="21"/>
  <c r="S49" i="21"/>
  <c r="S209" i="21"/>
  <c r="S199" i="21"/>
  <c r="S95" i="21"/>
  <c r="S71" i="21"/>
  <c r="S176" i="21"/>
  <c r="S39" i="21"/>
  <c r="S203" i="21"/>
  <c r="S60" i="21"/>
  <c r="S55" i="21"/>
  <c r="S89" i="21"/>
  <c r="S25" i="21"/>
  <c r="S171" i="21"/>
  <c r="S137" i="21"/>
  <c r="S57" i="21"/>
  <c r="S161" i="21"/>
  <c r="S33" i="21"/>
  <c r="S108" i="21"/>
  <c r="S193" i="21"/>
  <c r="S151" i="21"/>
  <c r="S73" i="21"/>
  <c r="S124" i="21"/>
  <c r="S183" i="21"/>
  <c r="S101" i="21"/>
  <c r="S92" i="21"/>
  <c r="S31" i="21"/>
  <c r="S153" i="21"/>
  <c r="S129" i="21"/>
  <c r="S65" i="21"/>
  <c r="S76" i="21"/>
  <c r="S12" i="21"/>
  <c r="S147" i="21"/>
  <c r="S80" i="21"/>
  <c r="S155" i="21"/>
  <c r="S185" i="21"/>
  <c r="S121" i="21"/>
  <c r="S44" i="21"/>
  <c r="S179" i="21"/>
  <c r="S87" i="21"/>
  <c r="S16" i="21"/>
  <c r="S192" i="21"/>
  <c r="S187" i="21"/>
  <c r="S119" i="21"/>
  <c r="S48" i="21"/>
  <c r="S37" i="21"/>
  <c r="S165" i="21"/>
  <c r="S118" i="21"/>
  <c r="S102" i="21"/>
  <c r="S144" i="21"/>
  <c r="S26" i="21"/>
  <c r="S208" i="21"/>
  <c r="S170" i="21"/>
  <c r="S154" i="21"/>
  <c r="S54" i="21"/>
  <c r="S210" i="21"/>
  <c r="S22" i="21"/>
  <c r="S58" i="21"/>
  <c r="S182" i="21"/>
  <c r="S198" i="21"/>
  <c r="S17" i="21"/>
  <c r="S138" i="21"/>
  <c r="S10" i="21"/>
  <c r="S202" i="21"/>
  <c r="Z24" i="20"/>
  <c r="J24" i="20"/>
  <c r="L24" i="20"/>
  <c r="D24" i="20"/>
  <c r="T24" i="20"/>
  <c r="Y24" i="20"/>
  <c r="K24" i="20"/>
  <c r="N24" i="20"/>
  <c r="W24" i="20"/>
  <c r="I24" i="20"/>
  <c r="V24" i="20"/>
  <c r="X24" i="20"/>
  <c r="U24" i="20"/>
  <c r="S24" i="20"/>
  <c r="R24" i="20"/>
  <c r="P24" i="20"/>
  <c r="Q24" i="20"/>
  <c r="O24" i="20"/>
  <c r="S123" i="21"/>
  <c r="S115" i="21"/>
  <c r="S190" i="21"/>
  <c r="S174" i="21"/>
  <c r="S30" i="21"/>
  <c r="S148" i="21"/>
  <c r="S84" i="21"/>
  <c r="S20" i="21"/>
  <c r="S91" i="21"/>
  <c r="S27" i="21"/>
  <c r="S166" i="21"/>
  <c r="S83" i="21"/>
  <c r="S19" i="21"/>
  <c r="S94" i="21"/>
  <c r="S180" i="21"/>
  <c r="S116" i="21"/>
  <c r="S52" i="21"/>
  <c r="S59" i="21"/>
  <c r="S51" i="21"/>
  <c r="S126" i="21"/>
  <c r="S62" i="21"/>
  <c r="S68" i="21"/>
  <c r="S38" i="21"/>
  <c r="S132" i="21"/>
  <c r="S139" i="21"/>
  <c r="S75" i="21"/>
  <c r="S11" i="21"/>
  <c r="S150" i="21"/>
  <c r="S131" i="21"/>
  <c r="S67" i="21"/>
  <c r="S78" i="21"/>
  <c r="S14" i="21"/>
  <c r="S164" i="21"/>
  <c r="S100" i="21"/>
  <c r="S36" i="21"/>
  <c r="S107" i="21"/>
  <c r="S43" i="21"/>
  <c r="S99" i="21"/>
  <c r="S35" i="21"/>
  <c r="S110" i="21"/>
  <c r="S46" i="21"/>
  <c r="A24" i="20" l="1"/>
  <c r="C24" i="20" s="1"/>
  <c r="A27" i="20" s="1"/>
</calcChain>
</file>

<file path=xl/comments1.xml><?xml version="1.0" encoding="utf-8"?>
<comments xmlns="http://schemas.openxmlformats.org/spreadsheetml/2006/main">
  <authors>
    <author>Denis</author>
  </authors>
  <commentList>
    <comment ref="C1" authorId="0">
      <text>
        <r>
          <rPr>
            <b/>
            <sz val="9"/>
            <color indexed="81"/>
            <rFont val="Tahoma"/>
            <family val="2"/>
          </rPr>
          <t>A: Aire de la section</t>
        </r>
      </text>
    </comment>
    <comment ref="D1" authorId="0">
      <text>
        <r>
          <rPr>
            <b/>
            <sz val="9"/>
            <color indexed="81"/>
            <rFont val="Tahoma"/>
            <family val="2"/>
          </rPr>
          <t>Section réduite Y</t>
        </r>
      </text>
    </comment>
    <comment ref="E1" authorId="0">
      <text>
        <r>
          <rPr>
            <b/>
            <sz val="9"/>
            <color indexed="81"/>
            <rFont val="Tahoma"/>
            <family val="2"/>
          </rPr>
          <t>Section réduite Z</t>
        </r>
      </text>
    </comment>
    <comment ref="F1" authorId="0">
      <text>
        <r>
          <rPr>
            <b/>
            <sz val="9"/>
            <color indexed="81"/>
            <rFont val="Tahoma"/>
            <family val="2"/>
          </rPr>
          <t>Facteur de cisaillement Y</t>
        </r>
      </text>
    </comment>
    <comment ref="G1" authorId="0">
      <text>
        <r>
          <rPr>
            <b/>
            <sz val="9"/>
            <color indexed="81"/>
            <rFont val="Tahoma"/>
            <family val="2"/>
          </rPr>
          <t>Facteur de cisaillement Z</t>
        </r>
      </text>
    </comment>
    <comment ref="H1" authorId="0">
      <text>
        <r>
          <rPr>
            <b/>
            <sz val="9"/>
            <color indexed="81"/>
            <rFont val="Tahoma"/>
            <family val="2"/>
          </rPr>
          <t>It: Moment d'inertie de torsion</t>
        </r>
      </text>
    </comment>
    <comment ref="I1" authorId="0">
      <text>
        <r>
          <rPr>
            <b/>
            <sz val="9"/>
            <color indexed="81"/>
            <rFont val="Tahoma"/>
            <family val="2"/>
          </rPr>
          <t>Iy: Moment d'inertie de flexion Y</t>
        </r>
      </text>
    </comment>
    <comment ref="J1" authorId="0">
      <text>
        <r>
          <rPr>
            <b/>
            <sz val="9"/>
            <color indexed="81"/>
            <rFont val="Tahoma"/>
            <family val="2"/>
          </rPr>
          <t>Iz: Moment d'inertie de flexion Z</t>
        </r>
      </text>
    </comment>
    <comment ref="K1" authorId="0">
      <text>
        <r>
          <rPr>
            <b/>
            <sz val="9"/>
            <color indexed="81"/>
            <rFont val="Tahoma"/>
            <family val="2"/>
          </rPr>
          <t>Module de torsion</t>
        </r>
      </text>
    </comment>
    <comment ref="L1" authorId="0">
      <text>
        <r>
          <rPr>
            <b/>
            <sz val="9"/>
            <color indexed="81"/>
            <rFont val="Tahoma"/>
            <family val="2"/>
          </rPr>
          <t>Wel.y: Module de flexion elastique Y
Ancienne notation: Ix/Vx</t>
        </r>
      </text>
    </comment>
    <comment ref="M1" authorId="0">
      <text>
        <r>
          <rPr>
            <b/>
            <sz val="9"/>
            <color indexed="81"/>
            <rFont val="Tahoma"/>
            <family val="2"/>
          </rPr>
          <t>Wel.z: Module de flexion elastique Z
Ancienne notation: Iy/Vy</t>
        </r>
      </text>
    </comment>
    <comment ref="N1" authorId="0">
      <text>
        <r>
          <rPr>
            <b/>
            <sz val="9"/>
            <color indexed="81"/>
            <rFont val="Tahoma"/>
            <charset val="1"/>
          </rPr>
          <t>Classe 1 à 4, fonction de la capacité du profil à se voiler localement(lié à l'élancement de la section du profil)</t>
        </r>
      </text>
    </comment>
    <comment ref="O1" authorId="0">
      <text>
        <r>
          <rPr>
            <b/>
            <sz val="9"/>
            <color indexed="81"/>
            <rFont val="Tahoma"/>
            <family val="2"/>
          </rPr>
          <t>Wpl.y: Module de flexion plastique Y</t>
        </r>
      </text>
    </comment>
    <comment ref="P1" authorId="0">
      <text>
        <r>
          <rPr>
            <b/>
            <sz val="9"/>
            <color indexed="81"/>
            <rFont val="Tahoma"/>
            <family val="2"/>
          </rPr>
          <t>Wpl.z: Module de flexion plastique Z</t>
        </r>
      </text>
    </comment>
    <comment ref="Q1" authorId="0">
      <text>
        <r>
          <rPr>
            <b/>
            <sz val="9"/>
            <color indexed="81"/>
            <rFont val="Tahoma"/>
            <family val="2"/>
          </rPr>
          <t>Inertie de gauchissement</t>
        </r>
      </text>
    </comment>
    <comment ref="C6" authorId="0">
      <text>
        <r>
          <rPr>
            <b/>
            <sz val="9"/>
            <color indexed="81"/>
            <rFont val="Tahoma"/>
            <family val="2"/>
          </rPr>
          <t>E : Module d'élasticité longitudinal 
(Module d'Young)
Rapport entre la valeur d'une contrainte et le déplacement longitudinal unitaire resultant de l'application de cette contrainte</t>
        </r>
      </text>
    </comment>
    <comment ref="D6" authorId="0">
      <text>
        <r>
          <rPr>
            <b/>
            <sz val="9"/>
            <color indexed="81"/>
            <rFont val="Tahoma"/>
            <family val="2"/>
          </rPr>
          <t>masse volumique</t>
        </r>
      </text>
    </comment>
    <comment ref="E6" authorId="0">
      <text>
        <r>
          <rPr>
            <b/>
            <sz val="9"/>
            <color indexed="81"/>
            <rFont val="Tahoma"/>
            <family val="2"/>
          </rPr>
          <t>Coefficient de Poisson: ν
Définit le rapport entre l'allongement longitudinal et transversal</t>
        </r>
      </text>
    </comment>
    <comment ref="F6" authorId="0">
      <text>
        <r>
          <rPr>
            <b/>
            <sz val="9"/>
            <color indexed="81"/>
            <rFont val="Tahoma"/>
            <family val="2"/>
          </rPr>
          <t>Limite élastique: fy</t>
        </r>
      </text>
    </comment>
  </commentList>
</comments>
</file>

<file path=xl/connections.xml><?xml version="1.0" encoding="utf-8"?>
<connections xmlns="http://schemas.openxmlformats.org/spreadsheetml/2006/main">
  <connection id="1" sourceFile="C:\Users\Denis\ApplicationsData\Calcul\Freelem\base.mdb" keepAlive="1" name="base" type="5" refreshedVersion="4" background="1" refreshOnLoad="1" saveData="1">
    <dbPr connection="Provider=Microsoft.ACE.OLEDB.12.0;User ID=Admin;Data Source=C:\Users\Denis\ApplicationsData\Calcul\Freelem\base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" command="OMARO" commandType="3"/>
  </connection>
  <connection id="2" sourceFile="C:\Users\Denis\ApplicationsData\Calcul\Freelem\base.mdb" keepAlive="1" name="base1" type="5" refreshedVersion="4" background="1" saveData="1">
    <dbPr connection="Provider=Microsoft.ACE.OLEDB.12.0;User ID=Admin;Data Source=C:\Users\Denis\ApplicationsData\Calcul\Freelem\base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" command="MATERIAU" commandType="3"/>
  </connection>
</connections>
</file>

<file path=xl/sharedStrings.xml><?xml version="1.0" encoding="utf-8"?>
<sst xmlns="http://schemas.openxmlformats.org/spreadsheetml/2006/main" count="318" uniqueCount="271">
  <si>
    <t>ACIER</t>
  </si>
  <si>
    <t>2</t>
  </si>
  <si>
    <t>0</t>
  </si>
  <si>
    <t>UPN 200</t>
  </si>
  <si>
    <t>HEA 200</t>
  </si>
  <si>
    <t>Appui</t>
  </si>
  <si>
    <t>PROFILE</t>
  </si>
  <si>
    <t>AX</t>
  </si>
  <si>
    <t>AY</t>
  </si>
  <si>
    <t>AZ</t>
  </si>
  <si>
    <t>WY</t>
  </si>
  <si>
    <t>WZ</t>
  </si>
  <si>
    <t>J</t>
  </si>
  <si>
    <t>IY</t>
  </si>
  <si>
    <t>IZ</t>
  </si>
  <si>
    <t>WT</t>
  </si>
  <si>
    <t>WFY</t>
  </si>
  <si>
    <t>WFZ</t>
  </si>
  <si>
    <t>CLASSE</t>
  </si>
  <si>
    <t>WPLY</t>
  </si>
  <si>
    <t>WPLZ</t>
  </si>
  <si>
    <t>IW</t>
  </si>
  <si>
    <t>UPN 080</t>
  </si>
  <si>
    <t>UPN 100</t>
  </si>
  <si>
    <t>UPN 140</t>
  </si>
  <si>
    <t>UPN 180</t>
  </si>
  <si>
    <t>HEB 200</t>
  </si>
  <si>
    <t>HEA 140</t>
  </si>
  <si>
    <t>HEB 100</t>
  </si>
  <si>
    <t>HEB 120</t>
  </si>
  <si>
    <t>HEB 180</t>
  </si>
  <si>
    <t>UPN 120</t>
  </si>
  <si>
    <t>UPN 220</t>
  </si>
  <si>
    <t>HEA 100</t>
  </si>
  <si>
    <t>HEA 240</t>
  </si>
  <si>
    <t>UPN 300</t>
  </si>
  <si>
    <t>HEB 140</t>
  </si>
  <si>
    <t>HEA 120</t>
  </si>
  <si>
    <t>HEA 160</t>
  </si>
  <si>
    <t>HEA 180</t>
  </si>
  <si>
    <t>HEA 220</t>
  </si>
  <si>
    <t>HEB 160</t>
  </si>
  <si>
    <t>HEB 220</t>
  </si>
  <si>
    <t>HEB 240</t>
  </si>
  <si>
    <t>UPN 160</t>
  </si>
  <si>
    <t>UPN 240</t>
  </si>
  <si>
    <t>UPN 260</t>
  </si>
  <si>
    <t>UPN 280</t>
  </si>
  <si>
    <t>HEA 260</t>
  </si>
  <si>
    <t>HEB 260</t>
  </si>
  <si>
    <t>HEA 280</t>
  </si>
  <si>
    <t>HEB 280</t>
  </si>
  <si>
    <t>HEA 300</t>
  </si>
  <si>
    <t>HEB 300</t>
  </si>
  <si>
    <t>IPN 080</t>
  </si>
  <si>
    <t>IPN 100</t>
  </si>
  <si>
    <t>IPN 120</t>
  </si>
  <si>
    <t>IPN 140</t>
  </si>
  <si>
    <t>IPN 160</t>
  </si>
  <si>
    <t>IPN 180</t>
  </si>
  <si>
    <t>IPN 200</t>
  </si>
  <si>
    <t>IPN 220</t>
  </si>
  <si>
    <t>IPN 240</t>
  </si>
  <si>
    <t>IPN 260</t>
  </si>
  <si>
    <t>IPN 280</t>
  </si>
  <si>
    <t>IPN 300</t>
  </si>
  <si>
    <t>IPN 320</t>
  </si>
  <si>
    <t>IPN 340</t>
  </si>
  <si>
    <t>IPN 360</t>
  </si>
  <si>
    <t>IPN 380</t>
  </si>
  <si>
    <t>IPN 400</t>
  </si>
  <si>
    <t>IPN 450</t>
  </si>
  <si>
    <t>IPN 500</t>
  </si>
  <si>
    <t>IPN 550</t>
  </si>
  <si>
    <t>IPN 600</t>
  </si>
  <si>
    <t>UPN 320</t>
  </si>
  <si>
    <t>UPN 350</t>
  </si>
  <si>
    <t>UPN 380</t>
  </si>
  <si>
    <t>UPN 400</t>
  </si>
  <si>
    <t>HEA 320</t>
  </si>
  <si>
    <t>HEA 340</t>
  </si>
  <si>
    <t>HEA 360</t>
  </si>
  <si>
    <t>HEA 400</t>
  </si>
  <si>
    <t>HEB 340</t>
  </si>
  <si>
    <t>HEB 320</t>
  </si>
  <si>
    <t>HEB 360</t>
  </si>
  <si>
    <t>HEB 400</t>
  </si>
  <si>
    <t>MATERIAU</t>
  </si>
  <si>
    <t>YOUNG</t>
  </si>
  <si>
    <t>VOLUMIQUE</t>
  </si>
  <si>
    <t>POISSON</t>
  </si>
  <si>
    <t>ELASTIQUE</t>
  </si>
  <si>
    <t>RUPTURE</t>
  </si>
  <si>
    <t>S235JRG2-80°</t>
  </si>
  <si>
    <t>1</t>
  </si>
  <si>
    <t>Nœud</t>
  </si>
  <si>
    <t>a</t>
  </si>
  <si>
    <t>mm2</t>
  </si>
  <si>
    <t>N/mm2</t>
  </si>
  <si>
    <t>N.mm</t>
  </si>
  <si>
    <t>Moment resistant plastique</t>
  </si>
  <si>
    <t>Mr =</t>
  </si>
  <si>
    <t>Abscisse (mm)</t>
  </si>
  <si>
    <t>Attache</t>
  </si>
  <si>
    <t>ROTULE</t>
  </si>
  <si>
    <t>kg/m3</t>
  </si>
  <si>
    <t>Force nodale appliquée (N)</t>
  </si>
  <si>
    <t>Force linéique appliquée (N/mm)</t>
  </si>
  <si>
    <t>cm4</t>
  </si>
  <si>
    <t>cm3</t>
  </si>
  <si>
    <t>Flèche maxi</t>
  </si>
  <si>
    <t>Wtot =</t>
  </si>
  <si>
    <t>Med =</t>
  </si>
  <si>
    <t>F (N)</t>
  </si>
  <si>
    <t>d (mm)</t>
  </si>
  <si>
    <t>Force réaction (N)</t>
  </si>
  <si>
    <t>Moment fléchissant (N.mm)</t>
  </si>
  <si>
    <t>N° pas</t>
  </si>
  <si>
    <t>x</t>
  </si>
  <si>
    <t>x0</t>
  </si>
  <si>
    <t>x1</t>
  </si>
  <si>
    <t>Col.</t>
  </si>
  <si>
    <t>Fa nod.</t>
  </si>
  <si>
    <t>Fr nod.</t>
  </si>
  <si>
    <t>Mt nod.</t>
  </si>
  <si>
    <t>Fa lin.</t>
  </si>
  <si>
    <t>Fr lin.</t>
  </si>
  <si>
    <t>Mt lin.</t>
  </si>
  <si>
    <t>Moment fléchissant Mt (N.mm)</t>
  </si>
  <si>
    <t>Moment fléchissant maxi calculé</t>
  </si>
  <si>
    <t>σmax =</t>
  </si>
  <si>
    <t>Contrainte maxi calculée</t>
  </si>
  <si>
    <t>f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</si>
  <si>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</si>
  <si>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</si>
  <si>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</si>
  <si>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</si>
  <si>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</si>
  <si>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</si>
  <si>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</si>
  <si>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</si>
  <si>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</si>
  <si>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</si>
  <si>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</si>
  <si>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</si>
  <si>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</si>
  <si>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</si>
  <si>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</si>
  <si>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</si>
  <si>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</si>
  <si>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</si>
  <si>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</si>
  <si>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</si>
  <si>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</si>
  <si>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mm</t>
  </si>
  <si>
    <t>ϕ</t>
  </si>
  <si>
    <t>Fr total</t>
  </si>
  <si>
    <t>Mt total</t>
  </si>
  <si>
    <t>Courbe</t>
  </si>
  <si>
    <t>ʃMf</t>
  </si>
  <si>
    <t>ʃʃMf</t>
  </si>
  <si>
    <t>1/E.I</t>
  </si>
  <si>
    <t>Nbre appuis</t>
  </si>
  <si>
    <t>b</t>
  </si>
  <si>
    <t>Flèche (mm)</t>
  </si>
  <si>
    <t>Flèche</t>
  </si>
  <si>
    <t>Angle de déformation</t>
  </si>
  <si>
    <t>Moment fléchissant</t>
  </si>
  <si>
    <t>Force de réaction</t>
  </si>
  <si>
    <t>Pas</t>
  </si>
  <si>
    <t>Coef. partiel de sécurité</t>
  </si>
  <si>
    <r>
      <t>γ</t>
    </r>
    <r>
      <rPr>
        <sz val="10"/>
        <rFont val="Arial"/>
        <family val="2"/>
      </rPr>
      <t xml:space="preserve"> =</t>
    </r>
  </si>
  <si>
    <t>Med &lt; Mr</t>
  </si>
  <si>
    <t>www</t>
  </si>
  <si>
    <t>L 050 x 050 x 5</t>
  </si>
  <si>
    <t>L 060 x 060 x 6</t>
  </si>
  <si>
    <t>L 070 x 070 x 7</t>
  </si>
  <si>
    <t>L 080 x 080 x 8</t>
  </si>
  <si>
    <t>Li 090 x 070 x 8</t>
  </si>
  <si>
    <t>IPE 140</t>
  </si>
  <si>
    <t>IPE 240</t>
  </si>
  <si>
    <t>IPE 330</t>
  </si>
  <si>
    <t>UPE 120</t>
  </si>
  <si>
    <t>L 045 x 045 x 4.5</t>
  </si>
  <si>
    <t>UPE 100</t>
  </si>
  <si>
    <t>TUCAC 120 x 5</t>
  </si>
  <si>
    <t>IPE 270</t>
  </si>
  <si>
    <t>TUCAC 060 x 4</t>
  </si>
  <si>
    <t>TUCAC 160 x 6.3</t>
  </si>
  <si>
    <t>IPE 100</t>
  </si>
  <si>
    <t>IPE 200</t>
  </si>
  <si>
    <t>UPE 160</t>
  </si>
  <si>
    <t>UPE 180</t>
  </si>
  <si>
    <t>MOISE_270x145</t>
  </si>
  <si>
    <t>IPE 300</t>
  </si>
  <si>
    <t>IPE 360</t>
  </si>
  <si>
    <t>IPE 400</t>
  </si>
  <si>
    <t>IPE 180</t>
  </si>
  <si>
    <t>TUCAC 100 x 5</t>
  </si>
  <si>
    <t>IPE 550</t>
  </si>
  <si>
    <t>UAP 130</t>
  </si>
  <si>
    <t>UAP 150</t>
  </si>
  <si>
    <t>UAP 175</t>
  </si>
  <si>
    <t>UAP 200</t>
  </si>
  <si>
    <t>UAP 220</t>
  </si>
  <si>
    <t>UAP 250</t>
  </si>
  <si>
    <t>UAP 300</t>
  </si>
  <si>
    <t>UAP 080</t>
  </si>
  <si>
    <t>UPE 080</t>
  </si>
  <si>
    <t>RIGIDE</t>
  </si>
  <si>
    <t>IPE 450</t>
  </si>
  <si>
    <t>IPE 500</t>
  </si>
  <si>
    <t>IPE 600</t>
  </si>
  <si>
    <t>UPE 140</t>
  </si>
  <si>
    <t>UPE 220</t>
  </si>
  <si>
    <t>UPE 240</t>
  </si>
  <si>
    <t>UPE 270</t>
  </si>
  <si>
    <t>UPE 300</t>
  </si>
  <si>
    <t>UPE 330</t>
  </si>
  <si>
    <t>UPE 360</t>
  </si>
  <si>
    <t>UPE 400</t>
  </si>
  <si>
    <t>TUBE20x2</t>
  </si>
  <si>
    <t>U350x100x3</t>
  </si>
  <si>
    <t>DN40</t>
  </si>
  <si>
    <t>TUCAC 100 x 4</t>
  </si>
  <si>
    <t>TUCAC 100 x 3</t>
  </si>
  <si>
    <t>TUCAC 80 x 3</t>
  </si>
  <si>
    <t>TUCAC 80 x 40</t>
  </si>
  <si>
    <t>Plat</t>
  </si>
  <si>
    <t>C 350x100</t>
  </si>
  <si>
    <t>DN32</t>
  </si>
  <si>
    <t>PLAT50X10</t>
  </si>
  <si>
    <t>PLAT60X10</t>
  </si>
  <si>
    <t>PLAT60X12</t>
  </si>
  <si>
    <t>TUCAC 60X3</t>
  </si>
  <si>
    <t>REC-200x100x5</t>
  </si>
  <si>
    <t>REC-150x100x5</t>
  </si>
  <si>
    <t>REC 300x100x5</t>
  </si>
  <si>
    <t>REC 250x100x5</t>
  </si>
  <si>
    <t>REC 250x150x5</t>
  </si>
  <si>
    <t>REC 300x150x5</t>
  </si>
  <si>
    <t>TUCA 150x5</t>
  </si>
  <si>
    <t>TUCAC 150x5</t>
  </si>
  <si>
    <t>DIA17</t>
  </si>
  <si>
    <t>C200X80X3</t>
  </si>
  <si>
    <t>TUCAC80X4</t>
  </si>
  <si>
    <t>Plat 50x8</t>
  </si>
  <si>
    <t>REC 250x100x10</t>
  </si>
  <si>
    <t>UAP 100</t>
  </si>
  <si>
    <t>IPE 120</t>
  </si>
  <si>
    <t>IPE 160</t>
  </si>
  <si>
    <t>TUCAC 100 x 8</t>
  </si>
  <si>
    <t>TUCAC 120 x 10</t>
  </si>
  <si>
    <t>L 040x40x4</t>
  </si>
  <si>
    <t>TUCA 150x10</t>
  </si>
  <si>
    <t>REC_200x100x10</t>
  </si>
  <si>
    <t>TUCA 200x10</t>
  </si>
  <si>
    <t>REC_150x100x10</t>
  </si>
  <si>
    <t>REC_150x100x12</t>
  </si>
  <si>
    <t>REC_100x50x5</t>
  </si>
  <si>
    <t>REC_080x040x5</t>
  </si>
  <si>
    <t>REC_200x100</t>
  </si>
  <si>
    <t>U350x100x5</t>
  </si>
  <si>
    <t>U350x100x4</t>
  </si>
  <si>
    <t>U350</t>
  </si>
  <si>
    <t>IPE 220</t>
  </si>
  <si>
    <t>IPE 080</t>
  </si>
  <si>
    <t>RECC_200x100x10</t>
  </si>
  <si>
    <t>TUCAC 200 x10</t>
  </si>
  <si>
    <t>UPE 200</t>
  </si>
  <si>
    <t>Réalisé par Denis, Atexat bureau d'études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</si>
</sst>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22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8"/>
      <color theme="0"/>
      <name val="Arial"/>
      <family val="2"/>
    </font>
    <font>
      <b/>
      <sz val="9"/>
      <color indexed="81"/>
      <name val="Tahoma"/>
      <family val="2"/>
    </font>
    <font>
      <b/>
      <sz val="9"/>
      <color indexed="81"/>
      <name val="Tahoma"/>
      <charset val="1"/>
    </font>
    <font>
      <sz val="10"/>
      <color theme="0" tint="-0.34998626667073579"/>
      <name val="Arial"/>
      <family val="2"/>
    </font>
    <font>
      <b/>
      <sz val="10"/>
      <color theme="0"/>
      <name val="Arial"/>
      <family val="2"/>
    </font>
    <font>
      <sz val="10"/>
      <color theme="0" tint="-0.499984740745262"/>
      <name val="Arial"/>
      <family val="2"/>
    </font>
    <font>
      <sz val="10"/>
      <name val="Calibri"/>
      <family val="2"/>
    </font>
    <font>
      <i/>
      <sz val="10"/>
      <name val="Arial"/>
      <family val="2"/>
    </font>
    <font>
      <sz val="10"/>
      <color rgb="FF0070C0"/>
      <name val="Arial"/>
      <family val="2"/>
    </font>
    <font>
      <i/>
      <sz val="10"/>
      <color theme="0" tint="-0.34998626667073579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  <font>
      <sz val="10"/>
      <color theme="3"/>
      <name val="Arial"/>
      <family val="2"/>
    </font>
    <font>
      <sz val="10"/>
      <color theme="4" tint="-0.249977111117893"/>
      <name val="Arial"/>
      <family val="2"/>
    </font>
    <font>
      <sz val="10"/>
      <color theme="5" tint="-0.249977111117893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21" fillId="0" borderId="0" applyNumberFormat="0" applyFill="0" applyBorder="0" applyAlignment="0" applyProtection="0"/>
  </cellStyleXfs>
  <cellXfs count="143">
    <xf numFmtId="0" fontId="0" fillId="0" borderId="0" xfId="0"/>
    <xf numFmtId="0" fontId="0" fillId="0" borderId="0" xfId="0" applyNumberForma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1"/>
    <xf numFmtId="0" fontId="3" fillId="0" borderId="0" xfId="1" applyAlignment="1">
      <alignment horizontal="center"/>
    </xf>
    <xf numFmtId="0" fontId="3" fillId="0" borderId="0" xfId="1" applyAlignment="1">
      <alignment horizontal="right"/>
    </xf>
    <xf numFmtId="3" fontId="3" fillId="0" borderId="0" xfId="1" applyNumberFormat="1" applyAlignment="1">
      <alignment horizontal="right"/>
    </xf>
    <xf numFmtId="164" fontId="3" fillId="0" borderId="0" xfId="1" applyNumberFormat="1"/>
    <xf numFmtId="2" fontId="3" fillId="0" borderId="0" xfId="1" applyNumberFormat="1"/>
    <xf numFmtId="1" fontId="3" fillId="0" borderId="0" xfId="1" applyNumberFormat="1"/>
    <xf numFmtId="165" fontId="3" fillId="0" borderId="0" xfId="1" applyNumberFormat="1" applyBorder="1" applyAlignment="1">
      <alignment horizontal="center"/>
    </xf>
    <xf numFmtId="0" fontId="3" fillId="0" borderId="0" xfId="1" applyBorder="1" applyAlignment="1">
      <alignment horizontal="center"/>
    </xf>
    <xf numFmtId="0" fontId="3" fillId="0" borderId="0" xfId="1" applyFill="1" applyAlignment="1">
      <alignment horizontal="center"/>
    </xf>
    <xf numFmtId="165" fontId="3" fillId="0" borderId="7" xfId="1" applyNumberFormat="1" applyBorder="1" applyAlignment="1">
      <alignment horizontal="center"/>
    </xf>
    <xf numFmtId="165" fontId="3" fillId="0" borderId="1" xfId="1" applyNumberFormat="1" applyBorder="1" applyAlignment="1">
      <alignment horizontal="center"/>
    </xf>
    <xf numFmtId="0" fontId="1" fillId="0" borderId="0" xfId="1" applyFont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1" fillId="0" borderId="0" xfId="1" applyFont="1"/>
    <xf numFmtId="0" fontId="5" fillId="2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1" fillId="0" borderId="0" xfId="1" applyFont="1" applyBorder="1" applyAlignment="1">
      <alignment horizontal="center"/>
    </xf>
    <xf numFmtId="3" fontId="3" fillId="0" borderId="0" xfId="1" applyNumberFormat="1" applyFont="1" applyBorder="1" applyAlignment="1" applyProtection="1">
      <alignment horizontal="center"/>
      <protection locked="0"/>
    </xf>
    <xf numFmtId="0" fontId="2" fillId="0" borderId="0" xfId="1" applyFont="1"/>
    <xf numFmtId="0" fontId="2" fillId="0" borderId="0" xfId="1" applyFont="1" applyAlignment="1">
      <alignment horizontal="right"/>
    </xf>
    <xf numFmtId="3" fontId="2" fillId="0" borderId="0" xfId="1" applyNumberFormat="1" applyFont="1"/>
    <xf numFmtId="0" fontId="3" fillId="0" borderId="0" xfId="1" applyFill="1"/>
    <xf numFmtId="1" fontId="3" fillId="0" borderId="0" xfId="1" applyNumberFormat="1" applyFill="1" applyAlignment="1">
      <alignment horizontal="center"/>
    </xf>
    <xf numFmtId="0" fontId="3" fillId="0" borderId="0" xfId="0" applyFont="1" applyFill="1" applyAlignment="1">
      <alignment horizontal="left"/>
    </xf>
    <xf numFmtId="165" fontId="10" fillId="0" borderId="7" xfId="1" applyNumberFormat="1" applyFont="1" applyBorder="1" applyAlignment="1">
      <alignment horizontal="center"/>
    </xf>
    <xf numFmtId="0" fontId="10" fillId="0" borderId="7" xfId="1" applyFont="1" applyBorder="1" applyAlignment="1">
      <alignment horizontal="center"/>
    </xf>
    <xf numFmtId="165" fontId="10" fillId="0" borderId="2" xfId="1" applyNumberFormat="1" applyFont="1" applyBorder="1" applyAlignment="1">
      <alignment horizontal="center"/>
    </xf>
    <xf numFmtId="3" fontId="10" fillId="0" borderId="7" xfId="1" applyNumberFormat="1" applyFont="1" applyBorder="1" applyAlignment="1" applyProtection="1">
      <alignment horizontal="center"/>
      <protection locked="0"/>
    </xf>
    <xf numFmtId="165" fontId="10" fillId="0" borderId="0" xfId="1" applyNumberFormat="1" applyFont="1" applyBorder="1" applyAlignment="1">
      <alignment horizontal="center"/>
    </xf>
    <xf numFmtId="0" fontId="10" fillId="0" borderId="0" xfId="1" applyFont="1" applyBorder="1" applyAlignment="1">
      <alignment horizontal="center"/>
    </xf>
    <xf numFmtId="3" fontId="10" fillId="0" borderId="0" xfId="1" applyNumberFormat="1" applyFont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165" fontId="3" fillId="0" borderId="0" xfId="1" applyNumberFormat="1" applyBorder="1" applyAlignment="1" applyProtection="1">
      <alignment horizontal="center"/>
    </xf>
    <xf numFmtId="0" fontId="3" fillId="0" borderId="0" xfId="1" applyFill="1" applyAlignment="1" applyProtection="1">
      <alignment horizontal="center"/>
    </xf>
    <xf numFmtId="0" fontId="3" fillId="0" borderId="0" xfId="1" applyAlignment="1" applyProtection="1">
      <alignment horizontal="center"/>
    </xf>
    <xf numFmtId="0" fontId="11" fillId="0" borderId="0" xfId="1" applyFont="1" applyFill="1" applyAlignment="1">
      <alignment horizontal="center"/>
    </xf>
    <xf numFmtId="0" fontId="2" fillId="0" borderId="0" xfId="1" applyFont="1" applyAlignment="1">
      <alignment horizontal="center"/>
    </xf>
    <xf numFmtId="1" fontId="2" fillId="0" borderId="0" xfId="1" applyNumberFormat="1" applyFont="1"/>
    <xf numFmtId="1" fontId="3" fillId="0" borderId="0" xfId="1" applyNumberFormat="1" applyFill="1"/>
    <xf numFmtId="1" fontId="3" fillId="0" borderId="0" xfId="1" applyNumberFormat="1" applyFont="1" applyFill="1" applyBorder="1"/>
    <xf numFmtId="1" fontId="3" fillId="0" borderId="0" xfId="1" applyNumberFormat="1" applyFont="1" applyFill="1" applyBorder="1" applyAlignment="1" applyProtection="1">
      <alignment horizontal="center"/>
      <protection locked="0"/>
    </xf>
    <xf numFmtId="1" fontId="3" fillId="0" borderId="0" xfId="1" applyNumberFormat="1" applyFont="1" applyFill="1" applyBorder="1" applyAlignment="1" applyProtection="1">
      <alignment horizontal="center"/>
    </xf>
    <xf numFmtId="1" fontId="3" fillId="0" borderId="0" xfId="1" applyNumberFormat="1" applyFont="1" applyFill="1" applyBorder="1" applyProtection="1">
      <protection locked="0"/>
    </xf>
    <xf numFmtId="1" fontId="12" fillId="0" borderId="0" xfId="1" applyNumberFormat="1" applyFont="1" applyFill="1" applyBorder="1" applyAlignment="1">
      <alignment horizontal="center"/>
    </xf>
    <xf numFmtId="1" fontId="12" fillId="0" borderId="0" xfId="1" applyNumberFormat="1" applyFont="1" applyFill="1" applyBorder="1"/>
    <xf numFmtId="2" fontId="3" fillId="0" borderId="0" xfId="1" applyNumberFormat="1" applyFont="1" applyFill="1" applyBorder="1" applyAlignment="1" applyProtection="1">
      <alignment horizontal="right"/>
      <protection locked="0"/>
    </xf>
    <xf numFmtId="1" fontId="3" fillId="0" borderId="0" xfId="1" applyNumberFormat="1" applyFont="1" applyFill="1" applyBorder="1" applyAlignment="1" applyProtection="1">
      <alignment horizontal="right"/>
      <protection locked="0"/>
    </xf>
    <xf numFmtId="1" fontId="12" fillId="0" borderId="0" xfId="1" applyNumberFormat="1" applyFont="1" applyFill="1" applyBorder="1" applyAlignment="1">
      <alignment horizontal="right"/>
    </xf>
    <xf numFmtId="1" fontId="2" fillId="0" borderId="4" xfId="1" applyNumberFormat="1" applyFont="1" applyFill="1" applyBorder="1" applyAlignment="1">
      <alignment horizontal="left"/>
    </xf>
    <xf numFmtId="1" fontId="2" fillId="0" borderId="4" xfId="1" applyNumberFormat="1" applyFont="1" applyFill="1" applyBorder="1" applyAlignment="1">
      <alignment horizontal="center"/>
    </xf>
    <xf numFmtId="1" fontId="3" fillId="0" borderId="10" xfId="1" applyNumberFormat="1" applyFont="1" applyFill="1" applyBorder="1" applyAlignment="1" applyProtection="1">
      <alignment horizontal="center"/>
      <protection locked="0"/>
    </xf>
    <xf numFmtId="0" fontId="3" fillId="0" borderId="0" xfId="1" applyFont="1" applyFill="1" applyAlignment="1">
      <alignment horizontal="center"/>
    </xf>
    <xf numFmtId="0" fontId="3" fillId="0" borderId="0" xfId="1" applyFont="1" applyFill="1" applyAlignment="1" applyProtection="1">
      <alignment horizontal="center"/>
    </xf>
    <xf numFmtId="0" fontId="3" fillId="0" borderId="0" xfId="1" applyFont="1" applyFill="1"/>
    <xf numFmtId="0" fontId="1" fillId="0" borderId="0" xfId="1" applyFont="1" applyFill="1"/>
    <xf numFmtId="0" fontId="1" fillId="0" borderId="0" xfId="1" applyFont="1" applyFill="1" applyAlignment="1">
      <alignment horizontal="center"/>
    </xf>
    <xf numFmtId="1" fontId="12" fillId="0" borderId="0" xfId="1" applyNumberFormat="1" applyFont="1" applyFill="1" applyBorder="1" applyAlignment="1" applyProtection="1">
      <alignment horizontal="center"/>
    </xf>
    <xf numFmtId="1" fontId="12" fillId="0" borderId="0" xfId="1" applyNumberFormat="1" applyFont="1" applyFill="1" applyBorder="1" applyAlignment="1" applyProtection="1">
      <alignment horizontal="right"/>
    </xf>
    <xf numFmtId="1" fontId="3" fillId="0" borderId="0" xfId="1" applyNumberFormat="1" applyFont="1" applyFill="1" applyBorder="1" applyProtection="1"/>
    <xf numFmtId="1" fontId="3" fillId="0" borderId="10" xfId="1" applyNumberFormat="1" applyFont="1" applyFill="1" applyBorder="1" applyAlignment="1">
      <alignment horizontal="center"/>
    </xf>
    <xf numFmtId="1" fontId="12" fillId="0" borderId="10" xfId="1" applyNumberFormat="1" applyFont="1" applyFill="1" applyBorder="1" applyAlignment="1">
      <alignment horizontal="center"/>
    </xf>
    <xf numFmtId="1" fontId="2" fillId="0" borderId="9" xfId="1" applyNumberFormat="1" applyFont="1" applyFill="1" applyBorder="1" applyAlignment="1">
      <alignment horizontal="center"/>
    </xf>
    <xf numFmtId="1" fontId="14" fillId="0" borderId="10" xfId="1" applyNumberFormat="1" applyFont="1" applyFill="1" applyBorder="1" applyAlignment="1">
      <alignment horizontal="center"/>
    </xf>
    <xf numFmtId="49" fontId="3" fillId="0" borderId="0" xfId="1" applyNumberFormat="1"/>
    <xf numFmtId="49" fontId="3" fillId="0" borderId="0" xfId="1" applyNumberFormat="1" applyAlignment="1">
      <alignment horizontal="right"/>
    </xf>
    <xf numFmtId="49" fontId="3" fillId="0" borderId="0" xfId="1" applyNumberFormat="1" applyFill="1" applyAlignment="1">
      <alignment horizontal="right"/>
    </xf>
    <xf numFmtId="49" fontId="2" fillId="0" borderId="0" xfId="1" applyNumberFormat="1" applyFont="1" applyAlignment="1">
      <alignment horizontal="right"/>
    </xf>
    <xf numFmtId="49" fontId="3" fillId="0" borderId="0" xfId="1" applyNumberFormat="1" applyFill="1"/>
    <xf numFmtId="165" fontId="3" fillId="0" borderId="2" xfId="1" applyNumberFormat="1" applyBorder="1" applyAlignment="1">
      <alignment horizontal="center"/>
    </xf>
    <xf numFmtId="0" fontId="2" fillId="0" borderId="0" xfId="1" applyFont="1" applyBorder="1" applyAlignment="1">
      <alignment horizontal="center"/>
    </xf>
    <xf numFmtId="49" fontId="9" fillId="2" borderId="4" xfId="0" applyNumberFormat="1" applyFont="1" applyFill="1" applyBorder="1" applyAlignment="1">
      <alignment horizontal="left"/>
    </xf>
    <xf numFmtId="49" fontId="9" fillId="2" borderId="9" xfId="0" applyNumberFormat="1" applyFont="1" applyFill="1" applyBorder="1" applyAlignment="1">
      <alignment horizontal="center"/>
    </xf>
    <xf numFmtId="49" fontId="9" fillId="2" borderId="4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 applyProtection="1">
      <alignment horizontal="center"/>
    </xf>
    <xf numFmtId="49" fontId="3" fillId="0" borderId="4" xfId="1" applyNumberFormat="1" applyFill="1" applyBorder="1"/>
    <xf numFmtId="2" fontId="3" fillId="0" borderId="0" xfId="1" applyNumberFormat="1" applyFont="1" applyAlignment="1">
      <alignment horizontal="center"/>
    </xf>
    <xf numFmtId="0" fontId="3" fillId="0" borderId="0" xfId="1" applyBorder="1" applyAlignment="1">
      <alignment horizontal="left"/>
    </xf>
    <xf numFmtId="0" fontId="3" fillId="0" borderId="0" xfId="0" applyNumberFormat="1" applyFont="1" applyFill="1" applyBorder="1" applyAlignment="1">
      <alignment horizontal="center"/>
    </xf>
    <xf numFmtId="0" fontId="3" fillId="0" borderId="0" xfId="1" applyNumberFormat="1" applyFont="1" applyFill="1" applyBorder="1" applyAlignment="1">
      <alignment horizontal="center"/>
    </xf>
    <xf numFmtId="0" fontId="3" fillId="0" borderId="8" xfId="1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center"/>
    </xf>
    <xf numFmtId="0" fontId="15" fillId="0" borderId="0" xfId="1" applyNumberFormat="1" applyFont="1" applyFill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15" fillId="0" borderId="8" xfId="1" applyNumberFormat="1" applyFont="1" applyFill="1" applyBorder="1" applyAlignment="1">
      <alignment horizontal="center"/>
    </xf>
    <xf numFmtId="0" fontId="15" fillId="0" borderId="1" xfId="1" applyNumberFormat="1" applyFont="1" applyFill="1" applyBorder="1" applyAlignment="1">
      <alignment horizontal="center"/>
    </xf>
    <xf numFmtId="0" fontId="15" fillId="0" borderId="0" xfId="0" applyNumberFormat="1" applyFont="1" applyFill="1" applyBorder="1" applyAlignment="1">
      <alignment horizontal="center"/>
    </xf>
    <xf numFmtId="0" fontId="16" fillId="0" borderId="0" xfId="0" applyNumberFormat="1" applyFont="1" applyFill="1" applyBorder="1" applyAlignment="1">
      <alignment horizontal="center"/>
    </xf>
    <xf numFmtId="0" fontId="3" fillId="0" borderId="1" xfId="1" applyNumberFormat="1" applyFont="1" applyFill="1" applyBorder="1" applyAlignment="1">
      <alignment horizontal="center"/>
    </xf>
    <xf numFmtId="0" fontId="3" fillId="0" borderId="8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17" fillId="0" borderId="0" xfId="1" applyNumberFormat="1" applyFont="1" applyFill="1" applyBorder="1" applyAlignment="1">
      <alignment horizontal="center"/>
    </xf>
    <xf numFmtId="0" fontId="15" fillId="2" borderId="3" xfId="1" applyNumberFormat="1" applyFont="1" applyFill="1" applyBorder="1" applyAlignment="1">
      <alignment horizontal="center"/>
    </xf>
    <xf numFmtId="0" fontId="15" fillId="2" borderId="4" xfId="1" applyNumberFormat="1" applyFont="1" applyFill="1" applyBorder="1" applyAlignment="1">
      <alignment horizontal="center"/>
    </xf>
    <xf numFmtId="0" fontId="15" fillId="2" borderId="4" xfId="0" applyNumberFormat="1" applyFont="1" applyFill="1" applyBorder="1" applyAlignment="1">
      <alignment horizontal="center"/>
    </xf>
    <xf numFmtId="0" fontId="15" fillId="2" borderId="5" xfId="0" applyNumberFormat="1" applyFont="1" applyFill="1" applyBorder="1" applyAlignment="1">
      <alignment horizontal="center"/>
    </xf>
    <xf numFmtId="0" fontId="18" fillId="0" borderId="0" xfId="1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horizontal="center"/>
    </xf>
    <xf numFmtId="1" fontId="2" fillId="0" borderId="0" xfId="1" applyNumberFormat="1" applyFont="1" applyFill="1" applyBorder="1" applyAlignment="1">
      <alignment horizontal="left"/>
    </xf>
    <xf numFmtId="1" fontId="2" fillId="0" borderId="0" xfId="1" applyNumberFormat="1" applyFont="1" applyFill="1" applyBorder="1" applyAlignment="1">
      <alignment horizontal="center"/>
    </xf>
    <xf numFmtId="1" fontId="2" fillId="0" borderId="10" xfId="1" applyNumberFormat="1" applyFont="1" applyFill="1" applyBorder="1" applyAlignment="1">
      <alignment horizontal="center"/>
    </xf>
    <xf numFmtId="0" fontId="2" fillId="0" borderId="7" xfId="1" applyFont="1" applyBorder="1" applyAlignment="1">
      <alignment horizontal="left"/>
    </xf>
    <xf numFmtId="0" fontId="2" fillId="0" borderId="7" xfId="1" applyFont="1" applyFill="1" applyBorder="1" applyAlignment="1">
      <alignment horizontal="center"/>
    </xf>
    <xf numFmtId="0" fontId="2" fillId="0" borderId="7" xfId="1" applyFont="1" applyBorder="1" applyAlignment="1">
      <alignment horizontal="center"/>
    </xf>
    <xf numFmtId="2" fontId="2" fillId="0" borderId="11" xfId="1" applyNumberFormat="1" applyFont="1" applyBorder="1" applyAlignment="1">
      <alignment horizontal="center"/>
    </xf>
    <xf numFmtId="2" fontId="2" fillId="0" borderId="7" xfId="1" applyNumberFormat="1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center" wrapText="1"/>
    </xf>
    <xf numFmtId="0" fontId="3" fillId="0" borderId="0" xfId="1" applyNumberFormat="1" applyFont="1" applyFill="1" applyBorder="1" applyAlignment="1">
      <alignment horizontal="center" wrapText="1"/>
    </xf>
    <xf numFmtId="0" fontId="3" fillId="0" borderId="0" xfId="0" applyNumberFormat="1" applyFont="1" applyBorder="1" applyAlignment="1">
      <alignment horizontal="center" wrapText="1"/>
    </xf>
    <xf numFmtId="0" fontId="4" fillId="0" borderId="0" xfId="0" applyNumberFormat="1" applyFont="1" applyFill="1" applyBorder="1" applyAlignment="1">
      <alignment horizontal="center" wrapText="1"/>
    </xf>
    <xf numFmtId="0" fontId="3" fillId="0" borderId="6" xfId="0" applyNumberFormat="1" applyFont="1" applyFill="1" applyBorder="1" applyAlignment="1">
      <alignment horizontal="center"/>
    </xf>
    <xf numFmtId="0" fontId="3" fillId="0" borderId="7" xfId="0" applyNumberFormat="1" applyFont="1" applyFill="1" applyBorder="1" applyAlignment="1">
      <alignment horizontal="center"/>
    </xf>
    <xf numFmtId="0" fontId="3" fillId="0" borderId="7" xfId="1" applyNumberFormat="1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center"/>
    </xf>
    <xf numFmtId="0" fontId="19" fillId="0" borderId="0" xfId="0" applyNumberFormat="1" applyFont="1" applyFill="1" applyBorder="1" applyAlignment="1">
      <alignment horizontal="center" wrapText="1"/>
    </xf>
    <xf numFmtId="0" fontId="3" fillId="0" borderId="0" xfId="1" applyNumberFormat="1" applyBorder="1" applyAlignment="1">
      <alignment horizontal="center"/>
    </xf>
    <xf numFmtId="0" fontId="3" fillId="0" borderId="0" xfId="1" applyNumberFormat="1" applyAlignment="1">
      <alignment horizontal="center"/>
    </xf>
    <xf numFmtId="0" fontId="3" fillId="0" borderId="0" xfId="1" applyNumberFormat="1" applyFont="1" applyFill="1" applyAlignment="1">
      <alignment horizontal="center"/>
    </xf>
    <xf numFmtId="0" fontId="4" fillId="0" borderId="7" xfId="0" applyFont="1" applyFill="1" applyBorder="1" applyAlignment="1" applyProtection="1">
      <alignment horizontal="center"/>
      <protection locked="0"/>
    </xf>
    <xf numFmtId="49" fontId="8" fillId="0" borderId="0" xfId="1" applyNumberFormat="1" applyFont="1" applyFill="1" applyBorder="1" applyAlignment="1">
      <alignment horizontal="center"/>
    </xf>
    <xf numFmtId="1" fontId="3" fillId="0" borderId="0" xfId="1" applyNumberFormat="1" applyFont="1" applyFill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3" fillId="0" borderId="0" xfId="1" applyFont="1" applyFill="1" applyBorder="1" applyAlignment="1" applyProtection="1">
      <alignment horizontal="center"/>
    </xf>
    <xf numFmtId="0" fontId="3" fillId="0" borderId="0" xfId="1" applyFont="1" applyFill="1" applyBorder="1"/>
    <xf numFmtId="0" fontId="20" fillId="0" borderId="0" xfId="1" applyFont="1" applyBorder="1" applyAlignment="1">
      <alignment horizontal="center"/>
    </xf>
    <xf numFmtId="0" fontId="20" fillId="0" borderId="0" xfId="1" applyNumberFormat="1" applyFont="1" applyBorder="1" applyAlignment="1">
      <alignment horizontal="center"/>
    </xf>
    <xf numFmtId="0" fontId="3" fillId="0" borderId="0" xfId="1" applyBorder="1"/>
    <xf numFmtId="0" fontId="15" fillId="2" borderId="9" xfId="1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3" fillId="0" borderId="0" xfId="1" applyFill="1" applyAlignment="1" applyProtection="1">
      <alignment horizontal="center"/>
      <protection locked="0"/>
    </xf>
    <xf numFmtId="4" fontId="2" fillId="0" borderId="0" xfId="1" applyNumberFormat="1" applyFont="1"/>
    <xf numFmtId="0" fontId="3" fillId="0" borderId="0" xfId="1" applyFont="1" applyFill="1" applyBorder="1" applyAlignment="1" applyProtection="1">
      <alignment horizontal="center"/>
      <protection locked="0"/>
    </xf>
    <xf numFmtId="0" fontId="3" fillId="0" borderId="0" xfId="1" applyFont="1"/>
    <xf numFmtId="0" fontId="3" fillId="0" borderId="0" xfId="1" applyFont="1" applyAlignment="1">
      <alignment horizontal="center"/>
    </xf>
    <xf numFmtId="0" fontId="21" fillId="0" borderId="0" xfId="2"/>
  </cellXfs>
  <cellStyles count="3">
    <cellStyle name="Lien hypertexte" xfId="2" builtinId="8"/>
    <cellStyle name="Normal" xfId="0" builtinId="0"/>
    <cellStyle name="Normal 2" xfId="1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70C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ill>
        <patternFill>
          <bgColor theme="6" tint="0.59996337778862885"/>
        </patternFill>
      </fill>
    </dxf>
    <dxf>
      <font>
        <b/>
        <i val="0"/>
        <strike val="0"/>
        <color rgb="FFC00000"/>
      </font>
    </dxf>
    <dxf>
      <fill>
        <patternFill>
          <bgColor theme="6" tint="0.59996337778862885"/>
        </patternFill>
      </fill>
    </dxf>
    <dxf>
      <font>
        <strike val="0"/>
      </font>
      <numFmt numFmtId="166" formatCode="&quot;&quot;"/>
      <fill>
        <patternFill>
          <bgColor theme="0" tint="-0.14996795556505021"/>
        </patternFill>
      </fill>
    </dxf>
    <dxf>
      <font>
        <strike val="0"/>
        <color auto="1"/>
      </font>
      <numFmt numFmtId="166" formatCode="&quot;&quot;"/>
      <fill>
        <patternFill>
          <fgColor theme="0"/>
          <bgColor theme="0" tint="-0.14996795556505021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/>
        <i val="0"/>
        <strike val="0"/>
        <color rgb="FF007635"/>
      </font>
    </dxf>
  </dxfs>
  <tableStyles count="0" defaultTableStyle="TableStyleMedium2" defaultPivotStyle="PivotStyleLight16"/>
  <colors>
    <mruColors>
      <color rgb="FF00763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852586970466886E-2"/>
          <c:y val="6.8375902628317248E-2"/>
          <c:w val="0.90995874931934684"/>
          <c:h val="0.90571105395157026"/>
        </c:manualLayout>
      </c:layout>
      <c:scatterChart>
        <c:scatterStyle val="lineMarker"/>
        <c:varyColors val="0"/>
        <c:ser>
          <c:idx val="0"/>
          <c:order val="1"/>
          <c:tx>
            <c:strRef>
              <c:f>Flexion!$B$10</c:f>
              <c:strCache>
                <c:ptCount val="1"/>
                <c:pt idx="0">
                  <c:v>Nœud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diamond"/>
            <c:size val="10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Flexion!$D$11:$Z$11</c:f>
              <c:numCache>
                <c:formatCode>0</c:formatCode>
                <c:ptCount val="23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1700</c:v>
                </c:pt>
                <c:pt idx="4">
                  <c:v>2151</c:v>
                </c:pt>
                <c:pt idx="5">
                  <c:v>2500</c:v>
                </c:pt>
                <c:pt idx="6">
                  <c:v>3000</c:v>
                </c:pt>
              </c:numCache>
            </c:numRef>
          </c:xVal>
          <c:yVal>
            <c:numRef>
              <c:f>Flexion!$D$10:$Z$10</c:f>
              <c:numCache>
                <c:formatCode>@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394752"/>
        <c:axId val="214417408"/>
      </c:scatterChart>
      <c:scatterChart>
        <c:scatterStyle val="smoothMarker"/>
        <c:varyColors val="0"/>
        <c:ser>
          <c:idx val="5"/>
          <c:order val="0"/>
          <c:tx>
            <c:strRef>
              <c:f>Données!$S$9</c:f>
              <c:strCache>
                <c:ptCount val="1"/>
                <c:pt idx="0">
                  <c:v>Courbe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Données!$D$10:$D$215</c:f>
              <c:numCache>
                <c:formatCode>General</c:formatCode>
                <c:ptCount val="206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  <c:pt idx="8">
                  <c:v>120</c:v>
                </c:pt>
                <c:pt idx="9">
                  <c:v>135</c:v>
                </c:pt>
                <c:pt idx="10">
                  <c:v>150</c:v>
                </c:pt>
                <c:pt idx="11">
                  <c:v>165</c:v>
                </c:pt>
                <c:pt idx="12">
                  <c:v>180</c:v>
                </c:pt>
                <c:pt idx="13">
                  <c:v>195</c:v>
                </c:pt>
                <c:pt idx="14">
                  <c:v>210</c:v>
                </c:pt>
                <c:pt idx="15">
                  <c:v>225</c:v>
                </c:pt>
                <c:pt idx="16">
                  <c:v>240</c:v>
                </c:pt>
                <c:pt idx="17">
                  <c:v>255</c:v>
                </c:pt>
                <c:pt idx="18">
                  <c:v>270</c:v>
                </c:pt>
                <c:pt idx="19">
                  <c:v>285</c:v>
                </c:pt>
                <c:pt idx="20">
                  <c:v>300</c:v>
                </c:pt>
                <c:pt idx="21">
                  <c:v>315</c:v>
                </c:pt>
                <c:pt idx="22">
                  <c:v>330</c:v>
                </c:pt>
                <c:pt idx="23">
                  <c:v>345</c:v>
                </c:pt>
                <c:pt idx="24">
                  <c:v>360</c:v>
                </c:pt>
                <c:pt idx="25">
                  <c:v>375</c:v>
                </c:pt>
                <c:pt idx="26">
                  <c:v>390</c:v>
                </c:pt>
                <c:pt idx="27">
                  <c:v>405</c:v>
                </c:pt>
                <c:pt idx="28">
                  <c:v>420</c:v>
                </c:pt>
                <c:pt idx="29">
                  <c:v>435</c:v>
                </c:pt>
                <c:pt idx="30">
                  <c:v>450</c:v>
                </c:pt>
                <c:pt idx="31">
                  <c:v>465</c:v>
                </c:pt>
                <c:pt idx="32">
                  <c:v>480</c:v>
                </c:pt>
                <c:pt idx="33">
                  <c:v>495</c:v>
                </c:pt>
                <c:pt idx="34">
                  <c:v>500</c:v>
                </c:pt>
                <c:pt idx="35">
                  <c:v>525</c:v>
                </c:pt>
                <c:pt idx="36">
                  <c:v>540</c:v>
                </c:pt>
                <c:pt idx="37">
                  <c:v>555</c:v>
                </c:pt>
                <c:pt idx="38">
                  <c:v>570</c:v>
                </c:pt>
                <c:pt idx="39">
                  <c:v>585</c:v>
                </c:pt>
                <c:pt idx="40">
                  <c:v>600</c:v>
                </c:pt>
                <c:pt idx="41">
                  <c:v>615</c:v>
                </c:pt>
                <c:pt idx="42">
                  <c:v>630</c:v>
                </c:pt>
                <c:pt idx="43">
                  <c:v>645</c:v>
                </c:pt>
                <c:pt idx="44">
                  <c:v>660</c:v>
                </c:pt>
                <c:pt idx="45">
                  <c:v>675</c:v>
                </c:pt>
                <c:pt idx="46">
                  <c:v>690</c:v>
                </c:pt>
                <c:pt idx="47">
                  <c:v>705</c:v>
                </c:pt>
                <c:pt idx="48">
                  <c:v>720</c:v>
                </c:pt>
                <c:pt idx="49">
                  <c:v>735</c:v>
                </c:pt>
                <c:pt idx="50">
                  <c:v>750</c:v>
                </c:pt>
                <c:pt idx="51">
                  <c:v>765</c:v>
                </c:pt>
                <c:pt idx="52">
                  <c:v>780</c:v>
                </c:pt>
                <c:pt idx="53">
                  <c:v>795</c:v>
                </c:pt>
                <c:pt idx="54">
                  <c:v>810</c:v>
                </c:pt>
                <c:pt idx="55">
                  <c:v>825</c:v>
                </c:pt>
                <c:pt idx="56">
                  <c:v>840</c:v>
                </c:pt>
                <c:pt idx="57">
                  <c:v>855</c:v>
                </c:pt>
                <c:pt idx="58">
                  <c:v>870</c:v>
                </c:pt>
                <c:pt idx="59">
                  <c:v>885</c:v>
                </c:pt>
                <c:pt idx="60">
                  <c:v>900</c:v>
                </c:pt>
                <c:pt idx="61">
                  <c:v>915</c:v>
                </c:pt>
                <c:pt idx="62">
                  <c:v>930</c:v>
                </c:pt>
                <c:pt idx="63">
                  <c:v>945</c:v>
                </c:pt>
                <c:pt idx="64">
                  <c:v>960</c:v>
                </c:pt>
                <c:pt idx="65">
                  <c:v>975</c:v>
                </c:pt>
                <c:pt idx="66">
                  <c:v>990</c:v>
                </c:pt>
                <c:pt idx="67">
                  <c:v>1000</c:v>
                </c:pt>
                <c:pt idx="68">
                  <c:v>1020</c:v>
                </c:pt>
                <c:pt idx="69">
                  <c:v>1035</c:v>
                </c:pt>
                <c:pt idx="70">
                  <c:v>1050</c:v>
                </c:pt>
                <c:pt idx="71">
                  <c:v>1065</c:v>
                </c:pt>
                <c:pt idx="72">
                  <c:v>1080</c:v>
                </c:pt>
                <c:pt idx="73">
                  <c:v>1095</c:v>
                </c:pt>
                <c:pt idx="74">
                  <c:v>1110</c:v>
                </c:pt>
                <c:pt idx="75">
                  <c:v>1125</c:v>
                </c:pt>
                <c:pt idx="76">
                  <c:v>1140</c:v>
                </c:pt>
                <c:pt idx="77">
                  <c:v>1155</c:v>
                </c:pt>
                <c:pt idx="78">
                  <c:v>1170</c:v>
                </c:pt>
                <c:pt idx="79">
                  <c:v>1185</c:v>
                </c:pt>
                <c:pt idx="80">
                  <c:v>1200</c:v>
                </c:pt>
                <c:pt idx="81">
                  <c:v>1215</c:v>
                </c:pt>
                <c:pt idx="82">
                  <c:v>1230</c:v>
                </c:pt>
                <c:pt idx="83">
                  <c:v>1245</c:v>
                </c:pt>
                <c:pt idx="84">
                  <c:v>1260</c:v>
                </c:pt>
                <c:pt idx="85">
                  <c:v>1275</c:v>
                </c:pt>
                <c:pt idx="86">
                  <c:v>1290</c:v>
                </c:pt>
                <c:pt idx="87">
                  <c:v>1305</c:v>
                </c:pt>
                <c:pt idx="88">
                  <c:v>1320</c:v>
                </c:pt>
                <c:pt idx="89">
                  <c:v>1335</c:v>
                </c:pt>
                <c:pt idx="90">
                  <c:v>1350</c:v>
                </c:pt>
                <c:pt idx="91">
                  <c:v>1365</c:v>
                </c:pt>
                <c:pt idx="92">
                  <c:v>1380</c:v>
                </c:pt>
                <c:pt idx="93">
                  <c:v>1395</c:v>
                </c:pt>
                <c:pt idx="94">
                  <c:v>1410</c:v>
                </c:pt>
                <c:pt idx="95">
                  <c:v>1425</c:v>
                </c:pt>
                <c:pt idx="96">
                  <c:v>1440</c:v>
                </c:pt>
                <c:pt idx="97">
                  <c:v>1455</c:v>
                </c:pt>
                <c:pt idx="98">
                  <c:v>1470</c:v>
                </c:pt>
                <c:pt idx="99">
                  <c:v>1485</c:v>
                </c:pt>
                <c:pt idx="100">
                  <c:v>1500</c:v>
                </c:pt>
                <c:pt idx="101">
                  <c:v>1515</c:v>
                </c:pt>
                <c:pt idx="102">
                  <c:v>1530</c:v>
                </c:pt>
                <c:pt idx="103">
                  <c:v>1545</c:v>
                </c:pt>
                <c:pt idx="104">
                  <c:v>1560</c:v>
                </c:pt>
                <c:pt idx="105">
                  <c:v>1575</c:v>
                </c:pt>
                <c:pt idx="106">
                  <c:v>1590</c:v>
                </c:pt>
                <c:pt idx="107">
                  <c:v>1605</c:v>
                </c:pt>
                <c:pt idx="108">
                  <c:v>1620</c:v>
                </c:pt>
                <c:pt idx="109">
                  <c:v>1635</c:v>
                </c:pt>
                <c:pt idx="110">
                  <c:v>1650</c:v>
                </c:pt>
                <c:pt idx="111">
                  <c:v>1665</c:v>
                </c:pt>
                <c:pt idx="112">
                  <c:v>1680</c:v>
                </c:pt>
                <c:pt idx="113">
                  <c:v>1695</c:v>
                </c:pt>
                <c:pt idx="114">
                  <c:v>1700</c:v>
                </c:pt>
                <c:pt idx="115">
                  <c:v>1725</c:v>
                </c:pt>
                <c:pt idx="116">
                  <c:v>1740</c:v>
                </c:pt>
                <c:pt idx="117">
                  <c:v>1755</c:v>
                </c:pt>
                <c:pt idx="118">
                  <c:v>1770</c:v>
                </c:pt>
                <c:pt idx="119">
                  <c:v>1785</c:v>
                </c:pt>
                <c:pt idx="120">
                  <c:v>1800</c:v>
                </c:pt>
                <c:pt idx="121">
                  <c:v>1815</c:v>
                </c:pt>
                <c:pt idx="122">
                  <c:v>1830</c:v>
                </c:pt>
                <c:pt idx="123">
                  <c:v>1845</c:v>
                </c:pt>
                <c:pt idx="124">
                  <c:v>1860</c:v>
                </c:pt>
                <c:pt idx="125">
                  <c:v>1875</c:v>
                </c:pt>
                <c:pt idx="126">
                  <c:v>1890</c:v>
                </c:pt>
                <c:pt idx="127">
                  <c:v>1905</c:v>
                </c:pt>
                <c:pt idx="128">
                  <c:v>1920</c:v>
                </c:pt>
                <c:pt idx="129">
                  <c:v>1935</c:v>
                </c:pt>
                <c:pt idx="130">
                  <c:v>1950</c:v>
                </c:pt>
                <c:pt idx="131">
                  <c:v>1965</c:v>
                </c:pt>
                <c:pt idx="132">
                  <c:v>1980</c:v>
                </c:pt>
                <c:pt idx="133">
                  <c:v>1995</c:v>
                </c:pt>
                <c:pt idx="134">
                  <c:v>2010</c:v>
                </c:pt>
                <c:pt idx="135">
                  <c:v>2025</c:v>
                </c:pt>
                <c:pt idx="136">
                  <c:v>2040</c:v>
                </c:pt>
                <c:pt idx="137">
                  <c:v>2055</c:v>
                </c:pt>
                <c:pt idx="138">
                  <c:v>2070</c:v>
                </c:pt>
                <c:pt idx="139">
                  <c:v>2085</c:v>
                </c:pt>
                <c:pt idx="140">
                  <c:v>2100</c:v>
                </c:pt>
                <c:pt idx="141">
                  <c:v>2115</c:v>
                </c:pt>
                <c:pt idx="142">
                  <c:v>2130</c:v>
                </c:pt>
                <c:pt idx="143">
                  <c:v>2145</c:v>
                </c:pt>
                <c:pt idx="144">
                  <c:v>2151</c:v>
                </c:pt>
                <c:pt idx="145">
                  <c:v>2175</c:v>
                </c:pt>
                <c:pt idx="146">
                  <c:v>2190</c:v>
                </c:pt>
                <c:pt idx="147">
                  <c:v>2205</c:v>
                </c:pt>
                <c:pt idx="148">
                  <c:v>2220</c:v>
                </c:pt>
                <c:pt idx="149">
                  <c:v>2235</c:v>
                </c:pt>
                <c:pt idx="150">
                  <c:v>2250</c:v>
                </c:pt>
                <c:pt idx="151">
                  <c:v>2265</c:v>
                </c:pt>
                <c:pt idx="152">
                  <c:v>2280</c:v>
                </c:pt>
                <c:pt idx="153">
                  <c:v>2295</c:v>
                </c:pt>
                <c:pt idx="154">
                  <c:v>2310</c:v>
                </c:pt>
                <c:pt idx="155">
                  <c:v>2325</c:v>
                </c:pt>
                <c:pt idx="156">
                  <c:v>2340</c:v>
                </c:pt>
                <c:pt idx="157">
                  <c:v>2355</c:v>
                </c:pt>
                <c:pt idx="158">
                  <c:v>2370</c:v>
                </c:pt>
                <c:pt idx="159">
                  <c:v>2385</c:v>
                </c:pt>
                <c:pt idx="160">
                  <c:v>2400</c:v>
                </c:pt>
                <c:pt idx="161">
                  <c:v>2415</c:v>
                </c:pt>
                <c:pt idx="162">
                  <c:v>2430</c:v>
                </c:pt>
                <c:pt idx="163">
                  <c:v>2445</c:v>
                </c:pt>
                <c:pt idx="164">
                  <c:v>2460</c:v>
                </c:pt>
                <c:pt idx="165">
                  <c:v>2475</c:v>
                </c:pt>
                <c:pt idx="166">
                  <c:v>2490</c:v>
                </c:pt>
                <c:pt idx="167">
                  <c:v>2500</c:v>
                </c:pt>
                <c:pt idx="168">
                  <c:v>2520</c:v>
                </c:pt>
                <c:pt idx="169">
                  <c:v>2535</c:v>
                </c:pt>
                <c:pt idx="170">
                  <c:v>2550</c:v>
                </c:pt>
                <c:pt idx="171">
                  <c:v>2565</c:v>
                </c:pt>
                <c:pt idx="172">
                  <c:v>2580</c:v>
                </c:pt>
                <c:pt idx="173">
                  <c:v>2595</c:v>
                </c:pt>
                <c:pt idx="174">
                  <c:v>2610</c:v>
                </c:pt>
                <c:pt idx="175">
                  <c:v>2625</c:v>
                </c:pt>
                <c:pt idx="176">
                  <c:v>2640</c:v>
                </c:pt>
                <c:pt idx="177">
                  <c:v>2655</c:v>
                </c:pt>
                <c:pt idx="178">
                  <c:v>2670</c:v>
                </c:pt>
                <c:pt idx="179">
                  <c:v>2685</c:v>
                </c:pt>
                <c:pt idx="180">
                  <c:v>2700</c:v>
                </c:pt>
                <c:pt idx="181">
                  <c:v>2715</c:v>
                </c:pt>
                <c:pt idx="182">
                  <c:v>2730</c:v>
                </c:pt>
                <c:pt idx="183">
                  <c:v>2745</c:v>
                </c:pt>
                <c:pt idx="184">
                  <c:v>2760</c:v>
                </c:pt>
                <c:pt idx="185">
                  <c:v>2775</c:v>
                </c:pt>
                <c:pt idx="186">
                  <c:v>2790</c:v>
                </c:pt>
                <c:pt idx="187">
                  <c:v>2805</c:v>
                </c:pt>
                <c:pt idx="188">
                  <c:v>2820</c:v>
                </c:pt>
                <c:pt idx="189">
                  <c:v>2835</c:v>
                </c:pt>
                <c:pt idx="190">
                  <c:v>2850</c:v>
                </c:pt>
                <c:pt idx="191">
                  <c:v>2865</c:v>
                </c:pt>
                <c:pt idx="192">
                  <c:v>2880</c:v>
                </c:pt>
                <c:pt idx="193">
                  <c:v>2895</c:v>
                </c:pt>
                <c:pt idx="194">
                  <c:v>2910</c:v>
                </c:pt>
                <c:pt idx="195">
                  <c:v>2925</c:v>
                </c:pt>
                <c:pt idx="196">
                  <c:v>2940</c:v>
                </c:pt>
                <c:pt idx="197">
                  <c:v>2955</c:v>
                </c:pt>
                <c:pt idx="198">
                  <c:v>2970</c:v>
                </c:pt>
                <c:pt idx="199">
                  <c:v>2985</c:v>
                </c:pt>
                <c:pt idx="200">
                  <c:v>3000</c:v>
                </c:pt>
              </c:numCache>
            </c:numRef>
          </c:xVal>
          <c:yVal>
            <c:numRef>
              <c:f>Données!$S$10:$S$215</c:f>
              <c:numCache>
                <c:formatCode>General</c:formatCode>
                <c:ptCount val="206"/>
                <c:pt idx="0">
                  <c:v>0</c:v>
                </c:pt>
                <c:pt idx="1">
                  <c:v>-7500</c:v>
                </c:pt>
                <c:pt idx="2">
                  <c:v>-15000</c:v>
                </c:pt>
                <c:pt idx="3">
                  <c:v>-22500</c:v>
                </c:pt>
                <c:pt idx="4">
                  <c:v>-30000</c:v>
                </c:pt>
                <c:pt idx="5">
                  <c:v>-37500</c:v>
                </c:pt>
                <c:pt idx="6">
                  <c:v>-45000</c:v>
                </c:pt>
                <c:pt idx="7">
                  <c:v>-52500</c:v>
                </c:pt>
                <c:pt idx="8">
                  <c:v>-60000</c:v>
                </c:pt>
                <c:pt idx="9">
                  <c:v>-67500</c:v>
                </c:pt>
                <c:pt idx="10">
                  <c:v>-75000</c:v>
                </c:pt>
                <c:pt idx="11">
                  <c:v>-82500</c:v>
                </c:pt>
                <c:pt idx="12">
                  <c:v>-90000</c:v>
                </c:pt>
                <c:pt idx="13">
                  <c:v>-97500</c:v>
                </c:pt>
                <c:pt idx="14">
                  <c:v>-105000</c:v>
                </c:pt>
                <c:pt idx="15">
                  <c:v>-112500</c:v>
                </c:pt>
                <c:pt idx="16">
                  <c:v>-120000</c:v>
                </c:pt>
                <c:pt idx="17">
                  <c:v>-127500</c:v>
                </c:pt>
                <c:pt idx="18">
                  <c:v>-135000</c:v>
                </c:pt>
                <c:pt idx="19">
                  <c:v>-142500</c:v>
                </c:pt>
                <c:pt idx="20">
                  <c:v>-150000</c:v>
                </c:pt>
                <c:pt idx="21">
                  <c:v>-157500</c:v>
                </c:pt>
                <c:pt idx="22">
                  <c:v>-165000</c:v>
                </c:pt>
                <c:pt idx="23">
                  <c:v>-172500</c:v>
                </c:pt>
                <c:pt idx="24">
                  <c:v>-180000</c:v>
                </c:pt>
                <c:pt idx="25">
                  <c:v>-187500</c:v>
                </c:pt>
                <c:pt idx="26">
                  <c:v>-195000</c:v>
                </c:pt>
                <c:pt idx="27">
                  <c:v>-202500</c:v>
                </c:pt>
                <c:pt idx="28">
                  <c:v>-210000</c:v>
                </c:pt>
                <c:pt idx="29">
                  <c:v>-217500</c:v>
                </c:pt>
                <c:pt idx="30">
                  <c:v>-225000</c:v>
                </c:pt>
                <c:pt idx="31">
                  <c:v>-232500</c:v>
                </c:pt>
                <c:pt idx="32">
                  <c:v>-240000</c:v>
                </c:pt>
                <c:pt idx="33">
                  <c:v>-247500</c:v>
                </c:pt>
                <c:pt idx="34">
                  <c:v>-250000</c:v>
                </c:pt>
                <c:pt idx="35">
                  <c:v>-208625</c:v>
                </c:pt>
                <c:pt idx="36">
                  <c:v>-184400</c:v>
                </c:pt>
                <c:pt idx="37">
                  <c:v>-160625</c:v>
                </c:pt>
                <c:pt idx="38">
                  <c:v>-137300</c:v>
                </c:pt>
                <c:pt idx="39">
                  <c:v>-114425</c:v>
                </c:pt>
                <c:pt idx="40">
                  <c:v>-92000</c:v>
                </c:pt>
                <c:pt idx="41">
                  <c:v>-70025</c:v>
                </c:pt>
                <c:pt idx="42">
                  <c:v>-48500</c:v>
                </c:pt>
                <c:pt idx="43">
                  <c:v>-27425</c:v>
                </c:pt>
                <c:pt idx="44">
                  <c:v>-6800</c:v>
                </c:pt>
                <c:pt idx="45">
                  <c:v>13375</c:v>
                </c:pt>
                <c:pt idx="46">
                  <c:v>33100</c:v>
                </c:pt>
                <c:pt idx="47">
                  <c:v>52375</c:v>
                </c:pt>
                <c:pt idx="48">
                  <c:v>71200</c:v>
                </c:pt>
                <c:pt idx="49">
                  <c:v>89575</c:v>
                </c:pt>
                <c:pt idx="50">
                  <c:v>107500</c:v>
                </c:pt>
                <c:pt idx="51">
                  <c:v>124975</c:v>
                </c:pt>
                <c:pt idx="52">
                  <c:v>142000</c:v>
                </c:pt>
                <c:pt idx="53">
                  <c:v>158575</c:v>
                </c:pt>
                <c:pt idx="54">
                  <c:v>174700</c:v>
                </c:pt>
                <c:pt idx="55">
                  <c:v>190375</c:v>
                </c:pt>
                <c:pt idx="56">
                  <c:v>205600</c:v>
                </c:pt>
                <c:pt idx="57">
                  <c:v>220375</c:v>
                </c:pt>
                <c:pt idx="58">
                  <c:v>234700</c:v>
                </c:pt>
                <c:pt idx="59">
                  <c:v>248575</c:v>
                </c:pt>
                <c:pt idx="60">
                  <c:v>262000</c:v>
                </c:pt>
                <c:pt idx="61">
                  <c:v>274975</c:v>
                </c:pt>
                <c:pt idx="62">
                  <c:v>287500</c:v>
                </c:pt>
                <c:pt idx="63">
                  <c:v>299575</c:v>
                </c:pt>
                <c:pt idx="64">
                  <c:v>311200</c:v>
                </c:pt>
                <c:pt idx="65">
                  <c:v>322375</c:v>
                </c:pt>
                <c:pt idx="66">
                  <c:v>333100</c:v>
                </c:pt>
                <c:pt idx="67">
                  <c:v>340000</c:v>
                </c:pt>
                <c:pt idx="68">
                  <c:v>353200</c:v>
                </c:pt>
                <c:pt idx="69">
                  <c:v>362575</c:v>
                </c:pt>
                <c:pt idx="70">
                  <c:v>371500</c:v>
                </c:pt>
                <c:pt idx="71">
                  <c:v>379975</c:v>
                </c:pt>
                <c:pt idx="72">
                  <c:v>388000</c:v>
                </c:pt>
                <c:pt idx="73">
                  <c:v>395575</c:v>
                </c:pt>
                <c:pt idx="74">
                  <c:v>402700</c:v>
                </c:pt>
                <c:pt idx="75">
                  <c:v>409375</c:v>
                </c:pt>
                <c:pt idx="76">
                  <c:v>415600</c:v>
                </c:pt>
                <c:pt idx="77">
                  <c:v>421375</c:v>
                </c:pt>
                <c:pt idx="78">
                  <c:v>426700</c:v>
                </c:pt>
                <c:pt idx="79">
                  <c:v>431575</c:v>
                </c:pt>
                <c:pt idx="80">
                  <c:v>436000</c:v>
                </c:pt>
                <c:pt idx="81">
                  <c:v>439975</c:v>
                </c:pt>
                <c:pt idx="82">
                  <c:v>443500</c:v>
                </c:pt>
                <c:pt idx="83">
                  <c:v>446575</c:v>
                </c:pt>
                <c:pt idx="84">
                  <c:v>449200</c:v>
                </c:pt>
                <c:pt idx="85">
                  <c:v>451375</c:v>
                </c:pt>
                <c:pt idx="86">
                  <c:v>453100</c:v>
                </c:pt>
                <c:pt idx="87">
                  <c:v>454375</c:v>
                </c:pt>
                <c:pt idx="88">
                  <c:v>455200</c:v>
                </c:pt>
                <c:pt idx="89">
                  <c:v>455575</c:v>
                </c:pt>
                <c:pt idx="90">
                  <c:v>455500</c:v>
                </c:pt>
                <c:pt idx="91">
                  <c:v>454975</c:v>
                </c:pt>
                <c:pt idx="92">
                  <c:v>454000</c:v>
                </c:pt>
                <c:pt idx="93">
                  <c:v>452575</c:v>
                </c:pt>
                <c:pt idx="94">
                  <c:v>450700</c:v>
                </c:pt>
                <c:pt idx="95">
                  <c:v>448375</c:v>
                </c:pt>
                <c:pt idx="96">
                  <c:v>445600</c:v>
                </c:pt>
                <c:pt idx="97">
                  <c:v>442375</c:v>
                </c:pt>
                <c:pt idx="98">
                  <c:v>438700</c:v>
                </c:pt>
                <c:pt idx="99">
                  <c:v>434575</c:v>
                </c:pt>
                <c:pt idx="100">
                  <c:v>430000</c:v>
                </c:pt>
                <c:pt idx="101">
                  <c:v>424975</c:v>
                </c:pt>
                <c:pt idx="102">
                  <c:v>419500</c:v>
                </c:pt>
                <c:pt idx="103">
                  <c:v>413575</c:v>
                </c:pt>
                <c:pt idx="104">
                  <c:v>407200</c:v>
                </c:pt>
                <c:pt idx="105">
                  <c:v>400375</c:v>
                </c:pt>
                <c:pt idx="106">
                  <c:v>393100</c:v>
                </c:pt>
                <c:pt idx="107">
                  <c:v>385375</c:v>
                </c:pt>
                <c:pt idx="108">
                  <c:v>377200</c:v>
                </c:pt>
                <c:pt idx="109">
                  <c:v>368575</c:v>
                </c:pt>
                <c:pt idx="110">
                  <c:v>359500</c:v>
                </c:pt>
                <c:pt idx="111">
                  <c:v>349975</c:v>
                </c:pt>
                <c:pt idx="112">
                  <c:v>340000</c:v>
                </c:pt>
                <c:pt idx="113">
                  <c:v>329575</c:v>
                </c:pt>
                <c:pt idx="114">
                  <c:v>326000</c:v>
                </c:pt>
                <c:pt idx="115">
                  <c:v>308000</c:v>
                </c:pt>
                <c:pt idx="116">
                  <c:v>297200</c:v>
                </c:pt>
                <c:pt idx="117">
                  <c:v>286400</c:v>
                </c:pt>
                <c:pt idx="118">
                  <c:v>275600</c:v>
                </c:pt>
                <c:pt idx="119">
                  <c:v>264800</c:v>
                </c:pt>
                <c:pt idx="120">
                  <c:v>254000</c:v>
                </c:pt>
                <c:pt idx="121">
                  <c:v>243200</c:v>
                </c:pt>
                <c:pt idx="122">
                  <c:v>232400</c:v>
                </c:pt>
                <c:pt idx="123">
                  <c:v>221600</c:v>
                </c:pt>
                <c:pt idx="124">
                  <c:v>210800</c:v>
                </c:pt>
                <c:pt idx="125">
                  <c:v>200000</c:v>
                </c:pt>
                <c:pt idx="126">
                  <c:v>189200</c:v>
                </c:pt>
                <c:pt idx="127">
                  <c:v>178400</c:v>
                </c:pt>
                <c:pt idx="128">
                  <c:v>167600</c:v>
                </c:pt>
                <c:pt idx="129">
                  <c:v>156800</c:v>
                </c:pt>
                <c:pt idx="130">
                  <c:v>146000</c:v>
                </c:pt>
                <c:pt idx="131">
                  <c:v>135200</c:v>
                </c:pt>
                <c:pt idx="132">
                  <c:v>124400</c:v>
                </c:pt>
                <c:pt idx="133">
                  <c:v>113600</c:v>
                </c:pt>
                <c:pt idx="134">
                  <c:v>102800</c:v>
                </c:pt>
                <c:pt idx="135">
                  <c:v>92000</c:v>
                </c:pt>
                <c:pt idx="136">
                  <c:v>81200</c:v>
                </c:pt>
                <c:pt idx="137">
                  <c:v>70400</c:v>
                </c:pt>
                <c:pt idx="138">
                  <c:v>59600</c:v>
                </c:pt>
                <c:pt idx="139">
                  <c:v>48800</c:v>
                </c:pt>
                <c:pt idx="140">
                  <c:v>38000</c:v>
                </c:pt>
                <c:pt idx="141">
                  <c:v>27200</c:v>
                </c:pt>
                <c:pt idx="142">
                  <c:v>16400</c:v>
                </c:pt>
                <c:pt idx="143">
                  <c:v>5600</c:v>
                </c:pt>
                <c:pt idx="144">
                  <c:v>1280</c:v>
                </c:pt>
                <c:pt idx="145">
                  <c:v>-16000</c:v>
                </c:pt>
                <c:pt idx="146">
                  <c:v>-26800</c:v>
                </c:pt>
                <c:pt idx="147">
                  <c:v>-37600</c:v>
                </c:pt>
                <c:pt idx="148">
                  <c:v>-48400</c:v>
                </c:pt>
                <c:pt idx="149">
                  <c:v>-59200</c:v>
                </c:pt>
                <c:pt idx="150">
                  <c:v>-70000</c:v>
                </c:pt>
                <c:pt idx="151">
                  <c:v>-80800</c:v>
                </c:pt>
                <c:pt idx="152">
                  <c:v>-91600</c:v>
                </c:pt>
                <c:pt idx="153">
                  <c:v>-102400</c:v>
                </c:pt>
                <c:pt idx="154">
                  <c:v>-113200</c:v>
                </c:pt>
                <c:pt idx="155">
                  <c:v>-124000</c:v>
                </c:pt>
                <c:pt idx="156">
                  <c:v>-134800</c:v>
                </c:pt>
                <c:pt idx="157">
                  <c:v>-145600</c:v>
                </c:pt>
                <c:pt idx="158">
                  <c:v>-156400</c:v>
                </c:pt>
                <c:pt idx="159">
                  <c:v>-167200</c:v>
                </c:pt>
                <c:pt idx="160">
                  <c:v>-178000</c:v>
                </c:pt>
                <c:pt idx="161">
                  <c:v>-188800</c:v>
                </c:pt>
                <c:pt idx="162">
                  <c:v>-199600</c:v>
                </c:pt>
                <c:pt idx="163">
                  <c:v>-210400</c:v>
                </c:pt>
                <c:pt idx="164">
                  <c:v>-221200</c:v>
                </c:pt>
                <c:pt idx="165">
                  <c:v>-232000</c:v>
                </c:pt>
                <c:pt idx="166">
                  <c:v>-242800</c:v>
                </c:pt>
                <c:pt idx="167">
                  <c:v>-250000</c:v>
                </c:pt>
                <c:pt idx="168">
                  <c:v>-230400</c:v>
                </c:pt>
                <c:pt idx="169">
                  <c:v>-216225</c:v>
                </c:pt>
                <c:pt idx="170">
                  <c:v>-202500</c:v>
                </c:pt>
                <c:pt idx="171">
                  <c:v>-189225</c:v>
                </c:pt>
                <c:pt idx="172">
                  <c:v>-176400</c:v>
                </c:pt>
                <c:pt idx="173">
                  <c:v>-164025</c:v>
                </c:pt>
                <c:pt idx="174">
                  <c:v>-152100</c:v>
                </c:pt>
                <c:pt idx="175">
                  <c:v>-140625</c:v>
                </c:pt>
                <c:pt idx="176">
                  <c:v>-129600</c:v>
                </c:pt>
                <c:pt idx="177">
                  <c:v>-119025</c:v>
                </c:pt>
                <c:pt idx="178">
                  <c:v>-108900</c:v>
                </c:pt>
                <c:pt idx="179">
                  <c:v>-99225</c:v>
                </c:pt>
                <c:pt idx="180">
                  <c:v>-90000</c:v>
                </c:pt>
                <c:pt idx="181">
                  <c:v>-81225</c:v>
                </c:pt>
                <c:pt idx="182">
                  <c:v>-72900</c:v>
                </c:pt>
                <c:pt idx="183">
                  <c:v>-65025</c:v>
                </c:pt>
                <c:pt idx="184">
                  <c:v>-57600</c:v>
                </c:pt>
                <c:pt idx="185">
                  <c:v>-50625</c:v>
                </c:pt>
                <c:pt idx="186">
                  <c:v>-44100</c:v>
                </c:pt>
                <c:pt idx="187">
                  <c:v>-38025</c:v>
                </c:pt>
                <c:pt idx="188">
                  <c:v>-32400</c:v>
                </c:pt>
                <c:pt idx="189">
                  <c:v>-27225</c:v>
                </c:pt>
                <c:pt idx="190">
                  <c:v>-22500</c:v>
                </c:pt>
                <c:pt idx="191">
                  <c:v>-18225</c:v>
                </c:pt>
                <c:pt idx="192">
                  <c:v>-14400</c:v>
                </c:pt>
                <c:pt idx="193">
                  <c:v>-11025</c:v>
                </c:pt>
                <c:pt idx="194">
                  <c:v>-8100</c:v>
                </c:pt>
                <c:pt idx="195">
                  <c:v>-5625</c:v>
                </c:pt>
                <c:pt idx="196">
                  <c:v>-3600</c:v>
                </c:pt>
                <c:pt idx="197">
                  <c:v>-2025</c:v>
                </c:pt>
                <c:pt idx="198">
                  <c:v>-900</c:v>
                </c:pt>
                <c:pt idx="199">
                  <c:v>-225</c:v>
                </c:pt>
                <c:pt idx="200">
                  <c:v>0</c:v>
                </c:pt>
              </c:numCache>
            </c:numRef>
          </c:yVal>
          <c:smooth val="1"/>
        </c:ser>
        <c:ser>
          <c:idx val="1"/>
          <c:order val="2"/>
          <c:tx>
            <c:strRef>
              <c:f>Flexion!$B$12</c:f>
              <c:strCache>
                <c:ptCount val="1"/>
                <c:pt idx="0">
                  <c:v>Attache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10"/>
            <c:spPr>
              <a:solidFill>
                <a:sysClr val="window" lastClr="FFFFFF"/>
              </a:solidFill>
              <a:ln w="19050">
                <a:solidFill>
                  <a:sysClr val="windowText" lastClr="000000"/>
                </a:solidFill>
              </a:ln>
            </c:spPr>
          </c:marker>
          <c:xVal>
            <c:numRef>
              <c:f>Flexion!$D$11:$Z$11</c:f>
              <c:numCache>
                <c:formatCode>0</c:formatCode>
                <c:ptCount val="23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1700</c:v>
                </c:pt>
                <c:pt idx="4">
                  <c:v>2151</c:v>
                </c:pt>
                <c:pt idx="5">
                  <c:v>2500</c:v>
                </c:pt>
                <c:pt idx="6">
                  <c:v>3000</c:v>
                </c:pt>
              </c:numCache>
            </c:numRef>
          </c:xVal>
          <c:yVal>
            <c:numRef>
              <c:f>Flexion!$D$12:$Z$12</c:f>
              <c:numCache>
                <c:formatCode>0</c:formatCode>
                <c:ptCount val="23"/>
                <c:pt idx="1">
                  <c:v>0</c:v>
                </c:pt>
                <c:pt idx="5">
                  <c:v>0</c:v>
                </c:pt>
              </c:numCache>
            </c:numRef>
          </c:yVal>
          <c:smooth val="1"/>
        </c:ser>
        <c:ser>
          <c:idx val="2"/>
          <c:order val="3"/>
          <c:tx>
            <c:strRef>
              <c:f>Flexion!$B$11</c:f>
              <c:strCache>
                <c:ptCount val="1"/>
                <c:pt idx="0">
                  <c:v>Abscisse (mm)</c:v>
                </c:pt>
              </c:strCache>
            </c:strRef>
          </c:tx>
          <c:spPr>
            <a:ln w="25400" cap="flat" cmpd="sng" algn="ctr">
              <a:solidFill>
                <a:schemeClr val="tx2">
                  <a:lumMod val="50000"/>
                </a:schemeClr>
              </a:solidFill>
              <a:prstDash val="solid"/>
            </a:ln>
            <a:effectLst/>
          </c:spPr>
          <c:marker>
            <c:symbol val="plus"/>
            <c:size val="10"/>
            <c:spPr>
              <a:noFill/>
              <a:ln w="25400" cap="flat" cmpd="sng" algn="ctr">
                <a:solidFill>
                  <a:schemeClr val="tx2">
                    <a:lumMod val="50000"/>
                  </a:schemeClr>
                </a:solidFill>
                <a:prstDash val="solid"/>
              </a:ln>
              <a:effectLst/>
            </c:spPr>
          </c:marker>
          <c:xVal>
            <c:numRef>
              <c:f>Flexion!$A$11</c:f>
              <c:numCache>
                <c:formatCode>0</c:formatCode>
                <c:ptCount val="1"/>
                <c:pt idx="0">
                  <c:v>1278</c:v>
                </c:pt>
              </c:numCache>
            </c:numRef>
          </c:xVal>
          <c:yVal>
            <c:numRef>
              <c:f>Flexion!$A$27</c:f>
              <c:numCache>
                <c:formatCode>General</c:formatCode>
                <c:ptCount val="1"/>
                <c:pt idx="0">
                  <c:v>451756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394752"/>
        <c:axId val="214417408"/>
      </c:scatterChart>
      <c:valAx>
        <c:axId val="214394752"/>
        <c:scaling>
          <c:orientation val="minMax"/>
        </c:scaling>
        <c:delete val="0"/>
        <c:axPos val="b"/>
        <c:majorGridlines/>
        <c:numFmt formatCode="0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dk1">
                <a:shade val="95000"/>
                <a:satMod val="105000"/>
              </a:schemeClr>
            </a:solidFill>
            <a:prstDash val="solid"/>
          </a:ln>
          <a:effectLst/>
        </c:spPr>
        <c:txPr>
          <a:bodyPr/>
          <a:lstStyle/>
          <a:p>
            <a:pPr>
              <a:defRPr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4417408"/>
        <c:crosses val="autoZero"/>
        <c:crossBetween val="midCat"/>
      </c:valAx>
      <c:valAx>
        <c:axId val="214417408"/>
        <c:scaling>
          <c:orientation val="minMax"/>
        </c:scaling>
        <c:delete val="0"/>
        <c:axPos val="l"/>
        <c:majorGridlines/>
        <c:numFmt formatCode="@" sourceLinked="1"/>
        <c:majorTickMark val="out"/>
        <c:minorTickMark val="none"/>
        <c:tickLblPos val="nextTo"/>
        <c:crossAx val="214394752"/>
        <c:crosses val="autoZero"/>
        <c:crossBetween val="midCat"/>
      </c:valAx>
    </c:plotArea>
    <c:plotVisOnly val="0"/>
    <c:dispBlanksAs val="span"/>
    <c:showDLblsOverMax val="0"/>
  </c:chart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Spin" dx="16" fmlaLink="$A$26" max="4" min="1" noThreeD="1" page="10" val="2"/>
</file>

<file path=xl/ctrlProps/ctrlProp2.xml><?xml version="1.0" encoding="utf-8"?>
<formControlPr xmlns="http://schemas.microsoft.com/office/spreadsheetml/2009/9/main" objectType="Spin" dx="16" fmlaLink="$C$11" inc="50" max="10000" noThreeD="1" page="10" val="1278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26</xdr:row>
          <xdr:rowOff>47625</xdr:rowOff>
        </xdr:from>
        <xdr:to>
          <xdr:col>1</xdr:col>
          <xdr:colOff>352425</xdr:colOff>
          <xdr:row>32</xdr:row>
          <xdr:rowOff>114300</xdr:rowOff>
        </xdr:to>
        <xdr:sp macro="" textlink="">
          <xdr:nvSpPr>
            <xdr:cNvPr id="1053" name="Spinner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xdr:twoCellAnchor>
    <xdr:from>
      <xdr:col>1</xdr:col>
      <xdr:colOff>419365</xdr:colOff>
      <xdr:row>26</xdr:row>
      <xdr:rowOff>56888</xdr:rowOff>
    </xdr:from>
    <xdr:to>
      <xdr:col>13</xdr:col>
      <xdr:colOff>85990</xdr:colOff>
      <xdr:row>44</xdr:row>
      <xdr:rowOff>47362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9</xdr:row>
          <xdr:rowOff>47625</xdr:rowOff>
        </xdr:from>
        <xdr:to>
          <xdr:col>2</xdr:col>
          <xdr:colOff>161925</xdr:colOff>
          <xdr:row>11</xdr:row>
          <xdr:rowOff>142875</xdr:rowOff>
        </xdr:to>
        <xdr:sp macro="" textlink="">
          <xdr:nvSpPr>
            <xdr:cNvPr id="1055" name="Spinner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xdr:twoCellAnchor>
    <xdr:from>
      <xdr:col>1</xdr:col>
      <xdr:colOff>381001</xdr:colOff>
      <xdr:row>3</xdr:row>
      <xdr:rowOff>141816</xdr:rowOff>
    </xdr:from>
    <xdr:to>
      <xdr:col>13</xdr:col>
      <xdr:colOff>158750</xdr:colOff>
      <xdr:row>32</xdr:row>
      <xdr:rowOff>78317</xdr:rowOff>
    </xdr:to>
    <xdr:grpSp>
      <xdr:nvGrpSpPr>
        <xdr:cNvPr id="13" name="Groupe 12"/>
        <xdr:cNvGrpSpPr/>
      </xdr:nvGrpSpPr>
      <xdr:grpSpPr>
        <a:xfrm>
          <a:off x="381001" y="618066"/>
          <a:ext cx="10742082" cy="3429001"/>
          <a:chOff x="381001" y="618066"/>
          <a:chExt cx="10742082" cy="3429001"/>
        </a:xfrm>
      </xdr:grpSpPr>
      <xdr:grpSp>
        <xdr:nvGrpSpPr>
          <xdr:cNvPr id="15" name="Groupe 14"/>
          <xdr:cNvGrpSpPr/>
        </xdr:nvGrpSpPr>
        <xdr:grpSpPr>
          <a:xfrm>
            <a:off x="7895169" y="814917"/>
            <a:ext cx="3227914" cy="825500"/>
            <a:chOff x="7895169" y="814917"/>
            <a:chExt cx="3227914" cy="825500"/>
          </a:xfrm>
        </xdr:grpSpPr>
        <xdr:sp macro="" textlink="">
          <xdr:nvSpPr>
            <xdr:cNvPr id="2" name="ZoneTexte 1"/>
            <xdr:cNvSpPr txBox="1"/>
          </xdr:nvSpPr>
          <xdr:spPr>
            <a:xfrm>
              <a:off x="8540751" y="814917"/>
              <a:ext cx="2582332" cy="486834"/>
            </a:xfrm>
            <a:prstGeom prst="rect">
              <a:avLst/>
            </a:prstGeom>
            <a:solidFill>
              <a:schemeClr val="accent6"/>
            </a:solidFill>
            <a:ln>
              <a:solidFill>
                <a:sysClr val="windowText" lastClr="000000"/>
              </a:solidFill>
            </a:ln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fr-FR" sz="1200">
                  <a:latin typeface="Book Antiqua" pitchFamily="18" charset="0"/>
                </a:rPr>
                <a:t>Complétez</a:t>
              </a:r>
              <a:r>
                <a:rPr lang="fr-FR" sz="1200" baseline="0">
                  <a:latin typeface="Book Antiqua" pitchFamily="18" charset="0"/>
                </a:rPr>
                <a:t> ou supprimez</a:t>
              </a:r>
              <a:r>
                <a:rPr lang="fr-FR" sz="1200">
                  <a:latin typeface="Book Antiqua" pitchFamily="18" charset="0"/>
                </a:rPr>
                <a:t> les données des cellules sur fond</a:t>
              </a:r>
              <a:r>
                <a:rPr lang="fr-FR" sz="1200" baseline="0">
                  <a:latin typeface="Book Antiqua" pitchFamily="18" charset="0"/>
                </a:rPr>
                <a:t> vert.</a:t>
              </a:r>
              <a:r>
                <a:rPr lang="fr-FR" sz="1200">
                  <a:latin typeface="Book Antiqua" pitchFamily="18" charset="0"/>
                </a:rPr>
                <a:t> </a:t>
              </a:r>
            </a:p>
          </xdr:txBody>
        </xdr:sp>
        <xdr:cxnSp macro="">
          <xdr:nvCxnSpPr>
            <xdr:cNvPr id="5" name="Connecteur droit avec flèche 4"/>
            <xdr:cNvCxnSpPr>
              <a:stCxn id="2" idx="1"/>
            </xdr:cNvCxnSpPr>
          </xdr:nvCxnSpPr>
          <xdr:spPr>
            <a:xfrm flipH="1">
              <a:off x="7895169" y="1058334"/>
              <a:ext cx="645582" cy="582083"/>
            </a:xfrm>
            <a:prstGeom prst="straightConnector1">
              <a:avLst/>
            </a:prstGeom>
            <a:ln>
              <a:solidFill>
                <a:sysClr val="windowText" lastClr="000000"/>
              </a:solidFill>
              <a:tailEnd type="arrow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sp macro="" textlink="">
        <xdr:nvSpPr>
          <xdr:cNvPr id="9" name="ZoneTexte 8"/>
          <xdr:cNvSpPr txBox="1"/>
        </xdr:nvSpPr>
        <xdr:spPr>
          <a:xfrm>
            <a:off x="1234347" y="3560233"/>
            <a:ext cx="1834822" cy="486834"/>
          </a:xfrm>
          <a:prstGeom prst="rect">
            <a:avLst/>
          </a:prstGeom>
          <a:solidFill>
            <a:schemeClr val="accent6"/>
          </a:solidFill>
          <a:ln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fr-FR" sz="1200">
                <a:latin typeface="Book Antiqua" pitchFamily="18" charset="0"/>
              </a:rPr>
              <a:t>Choisissez</a:t>
            </a:r>
            <a:r>
              <a:rPr lang="fr-FR" sz="1200" baseline="0">
                <a:latin typeface="Book Antiqua" pitchFamily="18" charset="0"/>
              </a:rPr>
              <a:t> ici la courbe</a:t>
            </a:r>
          </a:p>
          <a:p>
            <a:r>
              <a:rPr lang="fr-FR" sz="1200" baseline="0">
                <a:latin typeface="Book Antiqua" pitchFamily="18" charset="0"/>
              </a:rPr>
              <a:t>à afficher</a:t>
            </a:r>
            <a:r>
              <a:rPr lang="fr-FR" sz="1200">
                <a:latin typeface="Book Antiqua" pitchFamily="18" charset="0"/>
              </a:rPr>
              <a:t> </a:t>
            </a:r>
          </a:p>
        </xdr:txBody>
      </xdr:sp>
      <xdr:cxnSp macro="">
        <xdr:nvCxnSpPr>
          <xdr:cNvPr id="10" name="Connecteur droit avec flèche 9"/>
          <xdr:cNvCxnSpPr>
            <a:stCxn id="9" idx="1"/>
          </xdr:cNvCxnSpPr>
        </xdr:nvCxnSpPr>
        <xdr:spPr>
          <a:xfrm flipH="1" flipV="1">
            <a:off x="381001" y="3704167"/>
            <a:ext cx="853346" cy="99483"/>
          </a:xfrm>
          <a:prstGeom prst="straightConnector1">
            <a:avLst/>
          </a:prstGeom>
          <a:ln>
            <a:solidFill>
              <a:sysClr val="windowText" lastClr="00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6" name="ZoneTexte 15"/>
          <xdr:cNvSpPr txBox="1"/>
        </xdr:nvSpPr>
        <xdr:spPr>
          <a:xfrm>
            <a:off x="3016250" y="618066"/>
            <a:ext cx="2317750" cy="486834"/>
          </a:xfrm>
          <a:prstGeom prst="rect">
            <a:avLst/>
          </a:prstGeom>
          <a:solidFill>
            <a:schemeClr val="accent6"/>
          </a:solidFill>
          <a:ln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fr-FR" sz="1200">
                <a:latin typeface="Book Antiqua" pitchFamily="18" charset="0"/>
              </a:rPr>
              <a:t>Faites varier l'abscisse</a:t>
            </a:r>
            <a:r>
              <a:rPr lang="fr-FR" sz="1200" baseline="0">
                <a:latin typeface="Book Antiqua" pitchFamily="18" charset="0"/>
              </a:rPr>
              <a:t> pour déplacer la croix sur la courbe</a:t>
            </a:r>
            <a:r>
              <a:rPr lang="fr-FR" sz="1200">
                <a:latin typeface="Book Antiqua" pitchFamily="18" charset="0"/>
              </a:rPr>
              <a:t> </a:t>
            </a:r>
          </a:p>
        </xdr:txBody>
      </xdr:sp>
      <xdr:cxnSp macro="">
        <xdr:nvCxnSpPr>
          <xdr:cNvPr id="17" name="Connecteur droit avec flèche 16"/>
          <xdr:cNvCxnSpPr>
            <a:stCxn id="16" idx="1"/>
          </xdr:cNvCxnSpPr>
        </xdr:nvCxnSpPr>
        <xdr:spPr>
          <a:xfrm flipH="1">
            <a:off x="2413000" y="861483"/>
            <a:ext cx="603250" cy="673100"/>
          </a:xfrm>
          <a:prstGeom prst="straightConnector1">
            <a:avLst/>
          </a:prstGeom>
          <a:ln>
            <a:solidFill>
              <a:sysClr val="windowText" lastClr="00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 fLocksWithSheet="0"/>
  </xdr:twoCellAnchor>
</xdr:wsDr>
</file>

<file path=xl/queryTables/queryTable1.xml><?xml version="1.0" encoding="utf-8"?>
<queryTable xmlns="http://schemas.openxmlformats.org/spreadsheetml/2006/main" name="base" connectionId="2" autoFormatId="16" applyNumberFormats="0" applyBorderFormats="0" applyFontFormats="0" applyPatternFormats="0" applyAlignmentFormats="0" applyWidthHeightFormats="0">
  <queryTableRefresh nextId="18">
    <queryTableFields count="6">
      <queryTableField id="2" name="MATERIAU" tableColumnId="2"/>
      <queryTableField id="3" name="YOUNG" tableColumnId="3"/>
      <queryTableField id="4" name="VOLUMIQUE" tableColumnId="4"/>
      <queryTableField id="5" name="POISSON" tableColumnId="5"/>
      <queryTableField id="6" name="ELASTIQUE" tableColumnId="6"/>
      <queryTableField id="7" name="RUPTURE" tableColumnId="7"/>
    </queryTableFields>
    <queryTableDeletedFields count="11">
      <deletedField name="ADMISSIBLE"/>
      <deletedField name="BOIS"/>
      <deletedField name="fmk"/>
      <deletedField name="ft0k"/>
      <deletedField name="ft90k"/>
      <deletedField name="fc0k"/>
      <deletedField name="fc90k"/>
      <deletedField name="fvk"/>
      <deletedField name="E005"/>
      <deletedField name="TYPE_BOIS"/>
      <deletedField name="N°"/>
    </queryTableDeletedFields>
  </queryTableRefresh>
</queryTable>
</file>

<file path=xl/queryTables/queryTable2.xml><?xml version="1.0" encoding="utf-8"?>
<queryTable xmlns="http://schemas.openxmlformats.org/spreadsheetml/2006/main" name="base" refreshOnLoad="1" connectionId="1" autoFormatId="16" applyNumberFormats="0" applyBorderFormats="0" applyFontFormats="0" applyPatternFormats="0" applyAlignmentFormats="0" applyWidthHeightFormats="0">
  <queryTableRefresh nextId="24">
    <queryTableFields count="16">
      <queryTableField id="2" name="PROFILE" tableColumnId="2"/>
      <queryTableField id="9" name="AX" tableColumnId="9"/>
      <queryTableField id="10" name="AY" tableColumnId="10"/>
      <queryTableField id="11" name="AZ" tableColumnId="11"/>
      <queryTableField id="12" name="WY" tableColumnId="12"/>
      <queryTableField id="13" name="WZ" tableColumnId="13"/>
      <queryTableField id="14" name="J" tableColumnId="14"/>
      <queryTableField id="15" name="IY" tableColumnId="15"/>
      <queryTableField id="16" name="IZ" tableColumnId="16"/>
      <queryTableField id="17" name="WT" tableColumnId="17"/>
      <queryTableField id="18" name="WFY" tableColumnId="18"/>
      <queryTableField id="19" name="WFZ" tableColumnId="19"/>
      <queryTableField id="20" name="CLASSE" tableColumnId="20"/>
      <queryTableField id="21" name="WPLY" tableColumnId="21"/>
      <queryTableField id="22" name="WPLZ" tableColumnId="22"/>
      <queryTableField id="23" name="IW" tableColumnId="23"/>
    </queryTableFields>
    <queryTableDeletedFields count="7">
      <deletedField name="N°"/>
      <deletedField name="CODE_IMAGE"/>
      <deletedField name="DIM_h"/>
      <deletedField name="DIM_b"/>
      <deletedField name="DIM_a"/>
      <deletedField name="DIM_e"/>
      <deletedField name="d"/>
    </queryTableDeletedFields>
  </queryTableRefresh>
</queryTable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table1.xml><?xml version="1.0" encoding="utf-8"?>
<table xmlns="http://schemas.openxmlformats.org/spreadsheetml/2006/main" id="6" name="Tableau6" displayName="Tableau6" ref="A9:S210" totalsRowShown="0" headerRowDxfId="20" dataDxfId="19">
  <tableColumns count="19">
    <tableColumn id="1" name="N° pas" dataDxfId="18" dataCellStyle="Normal 2">
      <calculatedColumnFormula>A9+1</calculatedColumnFormula>
    </tableColumn>
    <tableColumn id="2" name="Col." dataDxfId="17" dataCellStyle="Normal 2">
      <calculatedColumnFormula>MATCH(Tableau6[[#This Row],[x0]],Flexion!D$11:Z$11,1)</calculatedColumnFormula>
    </tableColumn>
    <tableColumn id="3" name="x0" dataDxfId="16" dataCellStyle="Normal 2">
      <calculatedColumnFormula>Tableau6[[#This Row],[N° pas]]*$A$2</calculatedColumnFormula>
    </tableColumn>
    <tableColumn id="4" name="x1" dataDxfId="15" dataCellStyle="Normal 2">
      <calculatedColumnFormula>IF($B10=$B9,Tableau6[[#This Row],[x0]],INDEX(Flexion!D$11:Z$11,$B10))</calculatedColumnFormula>
    </tableColumn>
    <tableColumn id="19" name="Nœud" dataDxfId="14" dataCellStyle="Normal 2">
      <calculatedColumnFormula>IF(B10=B9,"-",VALUE(INDEX(Flexion!D$10:Z$10,Tableau6[[#This Row],[Col.]])))</calculatedColumnFormula>
    </tableColumn>
    <tableColumn id="16" name="Appui" dataDxfId="13" dataCellStyle="Normal 2">
      <calculatedColumnFormula>IF(E10="-","-",IF(INDEX(Flexion!D$12:Z$12,Tableau6[[#This Row],[Col.]])="","-",INDEX(Flexion!D$12:Z$12,Tableau6[[#This Row],[Col.]])))</calculatedColumnFormula>
    </tableColumn>
    <tableColumn id="5" name="Fa nod." dataDxfId="12" dataCellStyle="Normal 2">
      <calculatedColumnFormula>IF(Tableau6[[#This Row],[Nœud]]&lt;&gt;"-",INDEX(Flexion!D$13:Z$13,Tableau6[[#This Row],[Col.]]),)</calculatedColumnFormula>
    </tableColumn>
    <tableColumn id="6" name="Fr nod." dataDxfId="11" dataCellStyle="Normal 2">
      <calculatedColumnFormula>IF(Tableau6[[#This Row],[Appui]]&lt;&gt;"-",INDEX(Flexion!D$14:Z$14,Tableau6[[#This Row],[Col.]]),)</calculatedColumnFormula>
    </tableColumn>
    <tableColumn id="7" name="Mt nod." dataDxfId="10" dataCellStyle="Normal 2">
      <calculatedColumnFormula>$I9+($D10-$D9)*(SUM($G9:$G$10,$H9:$H$10))</calculatedColumnFormula>
    </tableColumn>
    <tableColumn id="8" name="Fa lin." dataDxfId="9" dataCellStyle="Normal 2">
      <calculatedColumnFormula>INDEX(Flexion!D$16:Z$16,Tableau6[[#This Row],[Col.]])*($D11-$D10)</calculatedColumnFormula>
    </tableColumn>
    <tableColumn id="9" name="Fr lin." dataDxfId="8" dataCellStyle="Normal 2">
      <calculatedColumnFormula>IF(B10=B9,0,INDEX(Flexion!D$20:Z$20,Tableau6[[#This Row],[Col.]]))</calculatedColumnFormula>
    </tableColumn>
    <tableColumn id="10" name="Mt lin." dataDxfId="7" dataCellStyle="Normal 2">
      <calculatedColumnFormula>$L9+($D10-$D9)*(SUM($J9:$J$10,$K9:$K$10)-$J9/2)</calculatedColumnFormula>
    </tableColumn>
    <tableColumn id="11" name="Fr total" dataDxfId="6" dataCellStyle="Normal 2">
      <calculatedColumnFormula>Tableau6[[#This Row],[Fr nod.]]+Tableau6[[#This Row],[Fr lin.]]</calculatedColumnFormula>
    </tableColumn>
    <tableColumn id="12" name="Mt total" dataDxfId="5" dataCellStyle="Normal 2">
      <calculatedColumnFormula>Tableau6[[#This Row],[Mt nod.]]+Tableau6[[#This Row],[Mt lin.]]</calculatedColumnFormula>
    </tableColumn>
    <tableColumn id="14" name="ʃMf" dataDxfId="4" dataCellStyle="Normal 2">
      <calculatedColumnFormula>(D10-D9)*(N10+N9)/2+O9</calculatedColumnFormula>
    </tableColumn>
    <tableColumn id="17" name="ϕ" dataDxfId="3">
      <calculatedColumnFormula>$L$2*O10+$L$3</calculatedColumnFormula>
    </tableColumn>
    <tableColumn id="13" name="ʃʃMf" dataDxfId="2">
      <calculatedColumnFormula>Q9+((D10-D9)*(O10+O9)/2)</calculatedColumnFormula>
    </tableColumn>
    <tableColumn id="18" name="f" dataDxfId="1">
      <calculatedColumnFormula>$L$2*Q10+$L$3*D10+$L$4</calculatedColumnFormula>
    </tableColumn>
    <tableColumn id="15" name="Courbe" dataDxfId="0">
      <calculatedColumnFormula>OFFSET($A10,,CHOOSE(Flexion!$A$26,COLUMN($M$9)-1,COLUMN($N$9)-1,COLUMN($P$9)-1,COLUMN($R$9)-1))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Materiau" displayName="TableMateriau" ref="A1:F3" tableType="queryTable" totalsRowShown="0">
  <autoFilter ref="A1:F3"/>
  <tableColumns count="6">
    <tableColumn id="2" uniqueName="2" name="MATERIAU" queryTableFieldId="2"/>
    <tableColumn id="3" uniqueName="3" name="YOUNG" queryTableFieldId="3"/>
    <tableColumn id="4" uniqueName="4" name="VOLUMIQUE" queryTableFieldId="4"/>
    <tableColumn id="5" uniqueName="5" name="POISSON" queryTableFieldId="5"/>
    <tableColumn id="6" uniqueName="6" name="ELASTIQUE" queryTableFieldId="6"/>
    <tableColumn id="7" uniqueName="7" name="RUPTURE" queryTableFieldId="7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1" name="TableProfils" displayName="TableProfils" ref="A1:P165" tableType="queryTable" totalsRowShown="0">
  <autoFilter ref="A1:P165"/>
  <sortState ref="A2:P165">
    <sortCondition ref="A1:A136"/>
  </sortState>
  <tableColumns count="16">
    <tableColumn id="2" uniqueName="2" name="PROFILE" queryTableFieldId="2"/>
    <tableColumn id="9" uniqueName="9" name="AX" queryTableFieldId="9"/>
    <tableColumn id="10" uniqueName="10" name="AY" queryTableFieldId="10"/>
    <tableColumn id="11" uniqueName="11" name="AZ" queryTableFieldId="11"/>
    <tableColumn id="12" uniqueName="12" name="WY" queryTableFieldId="12"/>
    <tableColumn id="13" uniqueName="13" name="WZ" queryTableFieldId="13"/>
    <tableColumn id="14" uniqueName="14" name="J" queryTableFieldId="14"/>
    <tableColumn id="15" uniqueName="15" name="IY" queryTableFieldId="15"/>
    <tableColumn id="16" uniqueName="16" name="IZ" queryTableFieldId="16"/>
    <tableColumn id="17" uniqueName="17" name="WT" queryTableFieldId="17"/>
    <tableColumn id="18" uniqueName="18" name="WFY" queryTableFieldId="18"/>
    <tableColumn id="19" uniqueName="19" name="WFZ" queryTableFieldId="19"/>
    <tableColumn id="20" uniqueName="20" name="CLASSE" queryTableFieldId="20"/>
    <tableColumn id="21" uniqueName="21" name="WPLY" queryTableFieldId="21"/>
    <tableColumn id="22" uniqueName="22" name="WPLZ" queryTableFieldId="22"/>
    <tableColumn id="23" uniqueName="23" name="IW" queryTableFieldId="2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omments" Target="../comments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texat.fr/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tabColor theme="3" tint="0.59999389629810485"/>
  </sheetPr>
  <dimension ref="A1:AA59"/>
  <sheetViews>
    <sheetView tabSelected="1" topLeftCell="B1" zoomScale="90" zoomScaleNormal="90" workbookViewId="0">
      <selection activeCell="B26" sqref="B26"/>
    </sheetView>
  </sheetViews>
  <sheetFormatPr baseColWidth="10" defaultRowHeight="12.75" x14ac:dyDescent="0.2"/>
  <cols>
    <col min="1" max="1" width="11.5703125" style="126" hidden="1" customWidth="1"/>
    <col min="2" max="2" width="34.140625" style="3" bestFit="1" customWidth="1"/>
    <col min="3" max="3" width="12.5703125" style="3" bestFit="1" customWidth="1"/>
    <col min="4" max="4" width="13.7109375" style="3" bestFit="1" customWidth="1"/>
    <col min="5" max="8" width="11.7109375" style="3" customWidth="1"/>
    <col min="9" max="9" width="11.42578125" style="4" customWidth="1"/>
    <col min="10" max="11" width="11.42578125" style="3"/>
    <col min="12" max="13" width="11.42578125" style="4"/>
    <col min="14" max="26" width="11.42578125" style="3"/>
    <col min="27" max="27" width="11.42578125" style="58"/>
    <col min="28" max="256" width="11.42578125" style="3"/>
    <col min="257" max="257" width="6.140625" style="3" customWidth="1"/>
    <col min="258" max="258" width="23.42578125" style="3" bestFit="1" customWidth="1"/>
    <col min="259" max="264" width="11.7109375" style="3" customWidth="1"/>
    <col min="265" max="512" width="11.42578125" style="3"/>
    <col min="513" max="513" width="6.140625" style="3" customWidth="1"/>
    <col min="514" max="514" width="23.42578125" style="3" bestFit="1" customWidth="1"/>
    <col min="515" max="520" width="11.7109375" style="3" customWidth="1"/>
    <col min="521" max="768" width="11.42578125" style="3"/>
    <col min="769" max="769" width="6.140625" style="3" customWidth="1"/>
    <col min="770" max="770" width="23.42578125" style="3" bestFit="1" customWidth="1"/>
    <col min="771" max="776" width="11.7109375" style="3" customWidth="1"/>
    <col min="777" max="1024" width="11.42578125" style="3"/>
    <col min="1025" max="1025" width="6.140625" style="3" customWidth="1"/>
    <col min="1026" max="1026" width="23.42578125" style="3" bestFit="1" customWidth="1"/>
    <col min="1027" max="1032" width="11.7109375" style="3" customWidth="1"/>
    <col min="1033" max="1280" width="11.42578125" style="3"/>
    <col min="1281" max="1281" width="6.140625" style="3" customWidth="1"/>
    <col min="1282" max="1282" width="23.42578125" style="3" bestFit="1" customWidth="1"/>
    <col min="1283" max="1288" width="11.7109375" style="3" customWidth="1"/>
    <col min="1289" max="1536" width="11.42578125" style="3"/>
    <col min="1537" max="1537" width="6.140625" style="3" customWidth="1"/>
    <col min="1538" max="1538" width="23.42578125" style="3" bestFit="1" customWidth="1"/>
    <col min="1539" max="1544" width="11.7109375" style="3" customWidth="1"/>
    <col min="1545" max="1792" width="11.42578125" style="3"/>
    <col min="1793" max="1793" width="6.140625" style="3" customWidth="1"/>
    <col min="1794" max="1794" width="23.42578125" style="3" bestFit="1" customWidth="1"/>
    <col min="1795" max="1800" width="11.7109375" style="3" customWidth="1"/>
    <col min="1801" max="2048" width="11.42578125" style="3"/>
    <col min="2049" max="2049" width="6.140625" style="3" customWidth="1"/>
    <col min="2050" max="2050" width="23.42578125" style="3" bestFit="1" customWidth="1"/>
    <col min="2051" max="2056" width="11.7109375" style="3" customWidth="1"/>
    <col min="2057" max="2304" width="11.42578125" style="3"/>
    <col min="2305" max="2305" width="6.140625" style="3" customWidth="1"/>
    <col min="2306" max="2306" width="23.42578125" style="3" bestFit="1" customWidth="1"/>
    <col min="2307" max="2312" width="11.7109375" style="3" customWidth="1"/>
    <col min="2313" max="2560" width="11.42578125" style="3"/>
    <col min="2561" max="2561" width="6.140625" style="3" customWidth="1"/>
    <col min="2562" max="2562" width="23.42578125" style="3" bestFit="1" customWidth="1"/>
    <col min="2563" max="2568" width="11.7109375" style="3" customWidth="1"/>
    <col min="2569" max="2816" width="11.42578125" style="3"/>
    <col min="2817" max="2817" width="6.140625" style="3" customWidth="1"/>
    <col min="2818" max="2818" width="23.42578125" style="3" bestFit="1" customWidth="1"/>
    <col min="2819" max="2824" width="11.7109375" style="3" customWidth="1"/>
    <col min="2825" max="3072" width="11.42578125" style="3"/>
    <col min="3073" max="3073" width="6.140625" style="3" customWidth="1"/>
    <col min="3074" max="3074" width="23.42578125" style="3" bestFit="1" customWidth="1"/>
    <col min="3075" max="3080" width="11.7109375" style="3" customWidth="1"/>
    <col min="3081" max="3328" width="11.42578125" style="3"/>
    <col min="3329" max="3329" width="6.140625" style="3" customWidth="1"/>
    <col min="3330" max="3330" width="23.42578125" style="3" bestFit="1" customWidth="1"/>
    <col min="3331" max="3336" width="11.7109375" style="3" customWidth="1"/>
    <col min="3337" max="3584" width="11.42578125" style="3"/>
    <col min="3585" max="3585" width="6.140625" style="3" customWidth="1"/>
    <col min="3586" max="3586" width="23.42578125" style="3" bestFit="1" customWidth="1"/>
    <col min="3587" max="3592" width="11.7109375" style="3" customWidth="1"/>
    <col min="3593" max="3840" width="11.42578125" style="3"/>
    <col min="3841" max="3841" width="6.140625" style="3" customWidth="1"/>
    <col min="3842" max="3842" width="23.42578125" style="3" bestFit="1" customWidth="1"/>
    <col min="3843" max="3848" width="11.7109375" style="3" customWidth="1"/>
    <col min="3849" max="4096" width="11.42578125" style="3"/>
    <col min="4097" max="4097" width="6.140625" style="3" customWidth="1"/>
    <col min="4098" max="4098" width="23.42578125" style="3" bestFit="1" customWidth="1"/>
    <col min="4099" max="4104" width="11.7109375" style="3" customWidth="1"/>
    <col min="4105" max="4352" width="11.42578125" style="3"/>
    <col min="4353" max="4353" width="6.140625" style="3" customWidth="1"/>
    <col min="4354" max="4354" width="23.42578125" style="3" bestFit="1" customWidth="1"/>
    <col min="4355" max="4360" width="11.7109375" style="3" customWidth="1"/>
    <col min="4361" max="4608" width="11.42578125" style="3"/>
    <col min="4609" max="4609" width="6.140625" style="3" customWidth="1"/>
    <col min="4610" max="4610" width="23.42578125" style="3" bestFit="1" customWidth="1"/>
    <col min="4611" max="4616" width="11.7109375" style="3" customWidth="1"/>
    <col min="4617" max="4864" width="11.42578125" style="3"/>
    <col min="4865" max="4865" width="6.140625" style="3" customWidth="1"/>
    <col min="4866" max="4866" width="23.42578125" style="3" bestFit="1" customWidth="1"/>
    <col min="4867" max="4872" width="11.7109375" style="3" customWidth="1"/>
    <col min="4873" max="5120" width="11.42578125" style="3"/>
    <col min="5121" max="5121" width="6.140625" style="3" customWidth="1"/>
    <col min="5122" max="5122" width="23.42578125" style="3" bestFit="1" customWidth="1"/>
    <col min="5123" max="5128" width="11.7109375" style="3" customWidth="1"/>
    <col min="5129" max="5376" width="11.42578125" style="3"/>
    <col min="5377" max="5377" width="6.140625" style="3" customWidth="1"/>
    <col min="5378" max="5378" width="23.42578125" style="3" bestFit="1" customWidth="1"/>
    <col min="5379" max="5384" width="11.7109375" style="3" customWidth="1"/>
    <col min="5385" max="5632" width="11.42578125" style="3"/>
    <col min="5633" max="5633" width="6.140625" style="3" customWidth="1"/>
    <col min="5634" max="5634" width="23.42578125" style="3" bestFit="1" customWidth="1"/>
    <col min="5635" max="5640" width="11.7109375" style="3" customWidth="1"/>
    <col min="5641" max="5888" width="11.42578125" style="3"/>
    <col min="5889" max="5889" width="6.140625" style="3" customWidth="1"/>
    <col min="5890" max="5890" width="23.42578125" style="3" bestFit="1" customWidth="1"/>
    <col min="5891" max="5896" width="11.7109375" style="3" customWidth="1"/>
    <col min="5897" max="6144" width="11.42578125" style="3"/>
    <col min="6145" max="6145" width="6.140625" style="3" customWidth="1"/>
    <col min="6146" max="6146" width="23.42578125" style="3" bestFit="1" customWidth="1"/>
    <col min="6147" max="6152" width="11.7109375" style="3" customWidth="1"/>
    <col min="6153" max="6400" width="11.42578125" style="3"/>
    <col min="6401" max="6401" width="6.140625" style="3" customWidth="1"/>
    <col min="6402" max="6402" width="23.42578125" style="3" bestFit="1" customWidth="1"/>
    <col min="6403" max="6408" width="11.7109375" style="3" customWidth="1"/>
    <col min="6409" max="6656" width="11.42578125" style="3"/>
    <col min="6657" max="6657" width="6.140625" style="3" customWidth="1"/>
    <col min="6658" max="6658" width="23.42578125" style="3" bestFit="1" customWidth="1"/>
    <col min="6659" max="6664" width="11.7109375" style="3" customWidth="1"/>
    <col min="6665" max="6912" width="11.42578125" style="3"/>
    <col min="6913" max="6913" width="6.140625" style="3" customWidth="1"/>
    <col min="6914" max="6914" width="23.42578125" style="3" bestFit="1" customWidth="1"/>
    <col min="6915" max="6920" width="11.7109375" style="3" customWidth="1"/>
    <col min="6921" max="7168" width="11.42578125" style="3"/>
    <col min="7169" max="7169" width="6.140625" style="3" customWidth="1"/>
    <col min="7170" max="7170" width="23.42578125" style="3" bestFit="1" customWidth="1"/>
    <col min="7171" max="7176" width="11.7109375" style="3" customWidth="1"/>
    <col min="7177" max="7424" width="11.42578125" style="3"/>
    <col min="7425" max="7425" width="6.140625" style="3" customWidth="1"/>
    <col min="7426" max="7426" width="23.42578125" style="3" bestFit="1" customWidth="1"/>
    <col min="7427" max="7432" width="11.7109375" style="3" customWidth="1"/>
    <col min="7433" max="7680" width="11.42578125" style="3"/>
    <col min="7681" max="7681" width="6.140625" style="3" customWidth="1"/>
    <col min="7682" max="7682" width="23.42578125" style="3" bestFit="1" customWidth="1"/>
    <col min="7683" max="7688" width="11.7109375" style="3" customWidth="1"/>
    <col min="7689" max="7936" width="11.42578125" style="3"/>
    <col min="7937" max="7937" width="6.140625" style="3" customWidth="1"/>
    <col min="7938" max="7938" width="23.42578125" style="3" bestFit="1" customWidth="1"/>
    <col min="7939" max="7944" width="11.7109375" style="3" customWidth="1"/>
    <col min="7945" max="8192" width="11.42578125" style="3"/>
    <col min="8193" max="8193" width="6.140625" style="3" customWidth="1"/>
    <col min="8194" max="8194" width="23.42578125" style="3" bestFit="1" customWidth="1"/>
    <col min="8195" max="8200" width="11.7109375" style="3" customWidth="1"/>
    <col min="8201" max="8448" width="11.42578125" style="3"/>
    <col min="8449" max="8449" width="6.140625" style="3" customWidth="1"/>
    <col min="8450" max="8450" width="23.42578125" style="3" bestFit="1" customWidth="1"/>
    <col min="8451" max="8456" width="11.7109375" style="3" customWidth="1"/>
    <col min="8457" max="8704" width="11.42578125" style="3"/>
    <col min="8705" max="8705" width="6.140625" style="3" customWidth="1"/>
    <col min="8706" max="8706" width="23.42578125" style="3" bestFit="1" customWidth="1"/>
    <col min="8707" max="8712" width="11.7109375" style="3" customWidth="1"/>
    <col min="8713" max="8960" width="11.42578125" style="3"/>
    <col min="8961" max="8961" width="6.140625" style="3" customWidth="1"/>
    <col min="8962" max="8962" width="23.42578125" style="3" bestFit="1" customWidth="1"/>
    <col min="8963" max="8968" width="11.7109375" style="3" customWidth="1"/>
    <col min="8969" max="9216" width="11.42578125" style="3"/>
    <col min="9217" max="9217" width="6.140625" style="3" customWidth="1"/>
    <col min="9218" max="9218" width="23.42578125" style="3" bestFit="1" customWidth="1"/>
    <col min="9219" max="9224" width="11.7109375" style="3" customWidth="1"/>
    <col min="9225" max="9472" width="11.42578125" style="3"/>
    <col min="9473" max="9473" width="6.140625" style="3" customWidth="1"/>
    <col min="9474" max="9474" width="23.42578125" style="3" bestFit="1" customWidth="1"/>
    <col min="9475" max="9480" width="11.7109375" style="3" customWidth="1"/>
    <col min="9481" max="9728" width="11.42578125" style="3"/>
    <col min="9729" max="9729" width="6.140625" style="3" customWidth="1"/>
    <col min="9730" max="9730" width="23.42578125" style="3" bestFit="1" customWidth="1"/>
    <col min="9731" max="9736" width="11.7109375" style="3" customWidth="1"/>
    <col min="9737" max="9984" width="11.42578125" style="3"/>
    <col min="9985" max="9985" width="6.140625" style="3" customWidth="1"/>
    <col min="9986" max="9986" width="23.42578125" style="3" bestFit="1" customWidth="1"/>
    <col min="9987" max="9992" width="11.7109375" style="3" customWidth="1"/>
    <col min="9993" max="10240" width="11.42578125" style="3"/>
    <col min="10241" max="10241" width="6.140625" style="3" customWidth="1"/>
    <col min="10242" max="10242" width="23.42578125" style="3" bestFit="1" customWidth="1"/>
    <col min="10243" max="10248" width="11.7109375" style="3" customWidth="1"/>
    <col min="10249" max="10496" width="11.42578125" style="3"/>
    <col min="10497" max="10497" width="6.140625" style="3" customWidth="1"/>
    <col min="10498" max="10498" width="23.42578125" style="3" bestFit="1" customWidth="1"/>
    <col min="10499" max="10504" width="11.7109375" style="3" customWidth="1"/>
    <col min="10505" max="10752" width="11.42578125" style="3"/>
    <col min="10753" max="10753" width="6.140625" style="3" customWidth="1"/>
    <col min="10754" max="10754" width="23.42578125" style="3" bestFit="1" customWidth="1"/>
    <col min="10755" max="10760" width="11.7109375" style="3" customWidth="1"/>
    <col min="10761" max="11008" width="11.42578125" style="3"/>
    <col min="11009" max="11009" width="6.140625" style="3" customWidth="1"/>
    <col min="11010" max="11010" width="23.42578125" style="3" bestFit="1" customWidth="1"/>
    <col min="11011" max="11016" width="11.7109375" style="3" customWidth="1"/>
    <col min="11017" max="11264" width="11.42578125" style="3"/>
    <col min="11265" max="11265" width="6.140625" style="3" customWidth="1"/>
    <col min="11266" max="11266" width="23.42578125" style="3" bestFit="1" customWidth="1"/>
    <col min="11267" max="11272" width="11.7109375" style="3" customWidth="1"/>
    <col min="11273" max="11520" width="11.42578125" style="3"/>
    <col min="11521" max="11521" width="6.140625" style="3" customWidth="1"/>
    <col min="11522" max="11522" width="23.42578125" style="3" bestFit="1" customWidth="1"/>
    <col min="11523" max="11528" width="11.7109375" style="3" customWidth="1"/>
    <col min="11529" max="11776" width="11.42578125" style="3"/>
    <col min="11777" max="11777" width="6.140625" style="3" customWidth="1"/>
    <col min="11778" max="11778" width="23.42578125" style="3" bestFit="1" customWidth="1"/>
    <col min="11779" max="11784" width="11.7109375" style="3" customWidth="1"/>
    <col min="11785" max="12032" width="11.42578125" style="3"/>
    <col min="12033" max="12033" width="6.140625" style="3" customWidth="1"/>
    <col min="12034" max="12034" width="23.42578125" style="3" bestFit="1" customWidth="1"/>
    <col min="12035" max="12040" width="11.7109375" style="3" customWidth="1"/>
    <col min="12041" max="12288" width="11.42578125" style="3"/>
    <col min="12289" max="12289" width="6.140625" style="3" customWidth="1"/>
    <col min="12290" max="12290" width="23.42578125" style="3" bestFit="1" customWidth="1"/>
    <col min="12291" max="12296" width="11.7109375" style="3" customWidth="1"/>
    <col min="12297" max="12544" width="11.42578125" style="3"/>
    <col min="12545" max="12545" width="6.140625" style="3" customWidth="1"/>
    <col min="12546" max="12546" width="23.42578125" style="3" bestFit="1" customWidth="1"/>
    <col min="12547" max="12552" width="11.7109375" style="3" customWidth="1"/>
    <col min="12553" max="12800" width="11.42578125" style="3"/>
    <col min="12801" max="12801" width="6.140625" style="3" customWidth="1"/>
    <col min="12802" max="12802" width="23.42578125" style="3" bestFit="1" customWidth="1"/>
    <col min="12803" max="12808" width="11.7109375" style="3" customWidth="1"/>
    <col min="12809" max="13056" width="11.42578125" style="3"/>
    <col min="13057" max="13057" width="6.140625" style="3" customWidth="1"/>
    <col min="13058" max="13058" width="23.42578125" style="3" bestFit="1" customWidth="1"/>
    <col min="13059" max="13064" width="11.7109375" style="3" customWidth="1"/>
    <col min="13065" max="13312" width="11.42578125" style="3"/>
    <col min="13313" max="13313" width="6.140625" style="3" customWidth="1"/>
    <col min="13314" max="13314" width="23.42578125" style="3" bestFit="1" customWidth="1"/>
    <col min="13315" max="13320" width="11.7109375" style="3" customWidth="1"/>
    <col min="13321" max="13568" width="11.42578125" style="3"/>
    <col min="13569" max="13569" width="6.140625" style="3" customWidth="1"/>
    <col min="13570" max="13570" width="23.42578125" style="3" bestFit="1" customWidth="1"/>
    <col min="13571" max="13576" width="11.7109375" style="3" customWidth="1"/>
    <col min="13577" max="13824" width="11.42578125" style="3"/>
    <col min="13825" max="13825" width="6.140625" style="3" customWidth="1"/>
    <col min="13826" max="13826" width="23.42578125" style="3" bestFit="1" customWidth="1"/>
    <col min="13827" max="13832" width="11.7109375" style="3" customWidth="1"/>
    <col min="13833" max="14080" width="11.42578125" style="3"/>
    <col min="14081" max="14081" width="6.140625" style="3" customWidth="1"/>
    <col min="14082" max="14082" width="23.42578125" style="3" bestFit="1" customWidth="1"/>
    <col min="14083" max="14088" width="11.7109375" style="3" customWidth="1"/>
    <col min="14089" max="14336" width="11.42578125" style="3"/>
    <col min="14337" max="14337" width="6.140625" style="3" customWidth="1"/>
    <col min="14338" max="14338" width="23.42578125" style="3" bestFit="1" customWidth="1"/>
    <col min="14339" max="14344" width="11.7109375" style="3" customWidth="1"/>
    <col min="14345" max="14592" width="11.42578125" style="3"/>
    <col min="14593" max="14593" width="6.140625" style="3" customWidth="1"/>
    <col min="14594" max="14594" width="23.42578125" style="3" bestFit="1" customWidth="1"/>
    <col min="14595" max="14600" width="11.7109375" style="3" customWidth="1"/>
    <col min="14601" max="14848" width="11.42578125" style="3"/>
    <col min="14849" max="14849" width="6.140625" style="3" customWidth="1"/>
    <col min="14850" max="14850" width="23.42578125" style="3" bestFit="1" customWidth="1"/>
    <col min="14851" max="14856" width="11.7109375" style="3" customWidth="1"/>
    <col min="14857" max="15104" width="11.42578125" style="3"/>
    <col min="15105" max="15105" width="6.140625" style="3" customWidth="1"/>
    <col min="15106" max="15106" width="23.42578125" style="3" bestFit="1" customWidth="1"/>
    <col min="15107" max="15112" width="11.7109375" style="3" customWidth="1"/>
    <col min="15113" max="15360" width="11.42578125" style="3"/>
    <col min="15361" max="15361" width="6.140625" style="3" customWidth="1"/>
    <col min="15362" max="15362" width="23.42578125" style="3" bestFit="1" customWidth="1"/>
    <col min="15363" max="15368" width="11.7109375" style="3" customWidth="1"/>
    <col min="15369" max="15616" width="11.42578125" style="3"/>
    <col min="15617" max="15617" width="6.140625" style="3" customWidth="1"/>
    <col min="15618" max="15618" width="23.42578125" style="3" bestFit="1" customWidth="1"/>
    <col min="15619" max="15624" width="11.7109375" style="3" customWidth="1"/>
    <col min="15625" max="15872" width="11.42578125" style="3"/>
    <col min="15873" max="15873" width="6.140625" style="3" customWidth="1"/>
    <col min="15874" max="15874" width="23.42578125" style="3" bestFit="1" customWidth="1"/>
    <col min="15875" max="15880" width="11.7109375" style="3" customWidth="1"/>
    <col min="15881" max="16128" width="11.42578125" style="3"/>
    <col min="16129" max="16129" width="6.140625" style="3" customWidth="1"/>
    <col min="16130" max="16130" width="23.42578125" style="3" bestFit="1" customWidth="1"/>
    <col min="16131" max="16136" width="11.7109375" style="3" customWidth="1"/>
    <col min="16137" max="16384" width="11.42578125" style="3"/>
  </cols>
  <sheetData>
    <row r="1" spans="1:27" s="18" customFormat="1" ht="12.75" customHeight="1" x14ac:dyDescent="0.2">
      <c r="A1" s="21"/>
      <c r="B1" s="16" t="s">
        <v>6</v>
      </c>
      <c r="C1" s="16" t="s">
        <v>7</v>
      </c>
      <c r="D1" s="16" t="s">
        <v>8</v>
      </c>
      <c r="E1" s="16" t="s">
        <v>9</v>
      </c>
      <c r="F1" s="16" t="s">
        <v>10</v>
      </c>
      <c r="G1" s="16" t="s">
        <v>11</v>
      </c>
      <c r="H1" s="16" t="s">
        <v>12</v>
      </c>
      <c r="I1" s="16" t="s">
        <v>13</v>
      </c>
      <c r="J1" s="16" t="s">
        <v>14</v>
      </c>
      <c r="K1" s="16" t="s">
        <v>15</v>
      </c>
      <c r="L1" s="16" t="s">
        <v>16</v>
      </c>
      <c r="M1" s="16" t="s">
        <v>17</v>
      </c>
      <c r="N1" s="16" t="s">
        <v>18</v>
      </c>
      <c r="O1" s="16" t="s">
        <v>19</v>
      </c>
      <c r="P1" s="16" t="s">
        <v>20</v>
      </c>
      <c r="Q1" s="17" t="s">
        <v>21</v>
      </c>
      <c r="AA1" s="59"/>
    </row>
    <row r="2" spans="1:27" s="18" customFormat="1" ht="12.75" customHeight="1" x14ac:dyDescent="0.2">
      <c r="A2" s="21"/>
      <c r="B2" s="19"/>
      <c r="C2" s="19" t="s">
        <v>97</v>
      </c>
      <c r="D2" s="19"/>
      <c r="E2" s="19"/>
      <c r="F2" s="19"/>
      <c r="G2" s="19"/>
      <c r="H2" s="19" t="s">
        <v>108</v>
      </c>
      <c r="I2" s="19" t="s">
        <v>108</v>
      </c>
      <c r="J2" s="19" t="s">
        <v>108</v>
      </c>
      <c r="K2" s="19" t="s">
        <v>109</v>
      </c>
      <c r="L2" s="19" t="s">
        <v>109</v>
      </c>
      <c r="M2" s="19" t="s">
        <v>109</v>
      </c>
      <c r="N2" s="19"/>
      <c r="O2" s="19" t="s">
        <v>109</v>
      </c>
      <c r="P2" s="19" t="s">
        <v>109</v>
      </c>
      <c r="Q2" s="20"/>
      <c r="AA2" s="59"/>
    </row>
    <row r="3" spans="1:27" ht="12.75" customHeight="1" x14ac:dyDescent="0.2">
      <c r="B3" s="22" t="s">
        <v>55</v>
      </c>
      <c r="C3" s="10">
        <f>INDEX(PROFILS!$A:$P,MATCH($B3,PROFILS!$A:$A,0),MATCH(C$1,PROFILS!$1:$1,0))</f>
        <v>1060</v>
      </c>
      <c r="D3" s="10">
        <f>INDEX(PROFILS!$A:$P,MATCH($B3,PROFILS!$A:$A,0),MATCH(D$1,PROFILS!$1:$1,0))</f>
        <v>680</v>
      </c>
      <c r="E3" s="10">
        <f>INDEX(PROFILS!$A:$P,MATCH($B3,PROFILS!$A:$A,0),MATCH(E$1,PROFILS!$1:$1,0))</f>
        <v>450</v>
      </c>
      <c r="F3" s="10">
        <f>INDEX(PROFILS!$A:$P,MATCH($B3,PROFILS!$A:$A,0),MATCH(F$1,PROFILS!$1:$1,0))</f>
        <v>566.66666666666674</v>
      </c>
      <c r="G3" s="10">
        <f>INDEX(PROFILS!$A:$P,MATCH($B3,PROFILS!$A:$A,0),MATCH(G$1,PROFILS!$1:$1,0))</f>
        <v>375.00000000000006</v>
      </c>
      <c r="H3" s="10">
        <f>INDEX(PROFILS!$A:$P,MATCH($B3,PROFILS!$A:$A,0),MATCH(H$1,PROFILS!$1:$1,0))</f>
        <v>1.6</v>
      </c>
      <c r="I3" s="10">
        <f>INDEX(PROFILS!$A:$P,MATCH($B3,PROFILS!$A:$A,0),MATCH(I$1,PROFILS!$1:$1,0))</f>
        <v>171</v>
      </c>
      <c r="J3" s="10">
        <f>INDEX(PROFILS!$A:$P,MATCH($B3,PROFILS!$A:$A,0),MATCH(J$1,PROFILS!$1:$1,0))</f>
        <v>12.2</v>
      </c>
      <c r="K3" s="10">
        <f>INDEX(PROFILS!$A:$P,MATCH($B3,PROFILS!$A:$A,0),MATCH(K$1,PROFILS!$1:$1,0))</f>
        <v>2.3529411764705883</v>
      </c>
      <c r="L3" s="10">
        <f>INDEX(PROFILS!$A:$P,MATCH($B3,PROFILS!$A:$A,0),MATCH(L$1,PROFILS!$1:$1,0))</f>
        <v>34.200000000000003</v>
      </c>
      <c r="M3" s="10">
        <f>INDEX(PROFILS!$A:$P,MATCH($B3,PROFILS!$A:$A,0),MATCH(M$1,PROFILS!$1:$1,0))</f>
        <v>4.88</v>
      </c>
      <c r="N3" s="11">
        <f>INDEX(PROFILS!$A:$P,MATCH($B3,PROFILS!$A:$A,0),MATCH(N$1,PROFILS!$1:$1,0))</f>
        <v>1</v>
      </c>
      <c r="O3" s="10">
        <f>INDEX(PROFILS!$A:$P,MATCH($B3,PROFILS!$A:$A,0),MATCH(O$1,PROFILS!$1:$1,0))</f>
        <v>39.799999999999997</v>
      </c>
      <c r="P3" s="10">
        <f>INDEX(PROFILS!$A:$P,MATCH($B3,PROFILS!$A:$A,0),MATCH(P$1,PROFILS!$1:$1,0))</f>
        <v>8.1</v>
      </c>
      <c r="Q3" s="14">
        <f>INDEX(PROFILS!$A:$P,MATCH($B3,PROFILS!$A:$A,0),MATCH(Q$1,PROFILS!$1:$1,0))</f>
        <v>270</v>
      </c>
    </row>
    <row r="4" spans="1:27" ht="12.75" customHeight="1" x14ac:dyDescent="0.2">
      <c r="B4" s="32" t="s">
        <v>33</v>
      </c>
      <c r="C4" s="29">
        <f>INDEX(PROFILS!$A:$P,MATCH($B4,PROFILS!$A:$A,0),MATCH(C$1,PROFILS!$1:$1,0))</f>
        <v>2123.61</v>
      </c>
      <c r="D4" s="29">
        <f>INDEX(PROFILS!$A:$P,MATCH($B4,PROFILS!$A:$A,0),MATCH(D$1,PROFILS!$1:$1,0))</f>
        <v>1597.62</v>
      </c>
      <c r="E4" s="29">
        <f>INDEX(PROFILS!$A:$P,MATCH($B4,PROFILS!$A:$A,0),MATCH(E$1,PROFILS!$1:$1,0))</f>
        <v>524.58299999999997</v>
      </c>
      <c r="F4" s="29">
        <f>INDEX(PROFILS!$A:$P,MATCH($B4,PROFILS!$A:$A,0),MATCH(F$1,PROFILS!$1:$1,0))</f>
        <v>1067.4000000000001</v>
      </c>
      <c r="G4" s="29">
        <f>INDEX(PROFILS!$A:$P,MATCH($B4,PROFILS!$A:$A,0),MATCH(G$1,PROFILS!$1:$1,0))</f>
        <v>423.3</v>
      </c>
      <c r="H4" s="29">
        <f>INDEX(PROFILS!$A:$P,MATCH($B4,PROFILS!$A:$A,0),MATCH(H$1,PROFILS!$1:$1,0))</f>
        <v>4.6900000000000004</v>
      </c>
      <c r="I4" s="29">
        <f>INDEX(PROFILS!$A:$P,MATCH($B4,PROFILS!$A:$A,0),MATCH(I$1,PROFILS!$1:$1,0))</f>
        <v>349.22500000000002</v>
      </c>
      <c r="J4" s="29">
        <f>INDEX(PROFILS!$A:$P,MATCH($B4,PROFILS!$A:$A,0),MATCH(J$1,PROFILS!$1:$1,0))</f>
        <v>133.81100000000001</v>
      </c>
      <c r="K4" s="29">
        <f>INDEX(PROFILS!$A:$P,MATCH($B4,PROFILS!$A:$A,0),MATCH(K$1,PROFILS!$1:$1,0))</f>
        <v>4.7249999999999996</v>
      </c>
      <c r="L4" s="29">
        <f>INDEX(PROFILS!$A:$P,MATCH($B4,PROFILS!$A:$A,0),MATCH(L$1,PROFILS!$1:$1,0))</f>
        <v>72.760000000000005</v>
      </c>
      <c r="M4" s="29">
        <f>INDEX(PROFILS!$A:$P,MATCH($B4,PROFILS!$A:$A,0),MATCH(M$1,PROFILS!$1:$1,0))</f>
        <v>26.76</v>
      </c>
      <c r="N4" s="30">
        <f>INDEX(PROFILS!$A:$P,MATCH($B4,PROFILS!$A:$A,0),MATCH(N$1,PROFILS!$1:$1,0))</f>
        <v>1</v>
      </c>
      <c r="O4" s="29">
        <f>INDEX(PROFILS!$A:$P,MATCH($B4,PROFILS!$A:$A,0),MATCH(O$1,PROFILS!$1:$1,0))</f>
        <v>83.01</v>
      </c>
      <c r="P4" s="29">
        <f>INDEX(PROFILS!$A:$P,MATCH($B4,PROFILS!$A:$A,0),MATCH(P$1,PROFILS!$1:$1,0))</f>
        <v>41.14</v>
      </c>
      <c r="Q4" s="31">
        <f>INDEX(PROFILS!$A:$P,MATCH($B4,PROFILS!$A:$A,0),MATCH(Q$1,PROFILS!$1:$1,0))</f>
        <v>2580</v>
      </c>
    </row>
    <row r="5" spans="1:27" ht="12.75" customHeight="1" x14ac:dyDescent="0.2">
      <c r="B5" s="35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4"/>
      <c r="O5" s="33"/>
      <c r="P5" s="33"/>
      <c r="Q5" s="33"/>
    </row>
    <row r="6" spans="1:27" s="15" customFormat="1" ht="12.75" customHeight="1" x14ac:dyDescent="0.2">
      <c r="A6" s="21"/>
      <c r="B6" s="16" t="s">
        <v>87</v>
      </c>
      <c r="C6" s="16" t="s">
        <v>88</v>
      </c>
      <c r="D6" s="16" t="s">
        <v>89</v>
      </c>
      <c r="E6" s="16" t="s">
        <v>90</v>
      </c>
      <c r="F6" s="16" t="s">
        <v>91</v>
      </c>
      <c r="G6" s="17" t="s">
        <v>92</v>
      </c>
      <c r="AA6" s="60"/>
    </row>
    <row r="7" spans="1:27" s="15" customFormat="1" ht="12.75" customHeight="1" x14ac:dyDescent="0.2">
      <c r="A7" s="21"/>
      <c r="B7" s="19"/>
      <c r="C7" s="19" t="s">
        <v>98</v>
      </c>
      <c r="D7" s="19" t="s">
        <v>105</v>
      </c>
      <c r="E7" s="19"/>
      <c r="F7" s="19" t="s">
        <v>98</v>
      </c>
      <c r="G7" s="20" t="s">
        <v>98</v>
      </c>
      <c r="AA7" s="60"/>
    </row>
    <row r="8" spans="1:27" s="12" customFormat="1" ht="12.75" customHeight="1" x14ac:dyDescent="0.2">
      <c r="A8" s="127"/>
      <c r="B8" s="123" t="s">
        <v>0</v>
      </c>
      <c r="C8" s="13">
        <f>INDEX(MATERIAU!$A:$F,MATCH($B8,MATERIAU!$A:$A,0),MATCH(C$6,MATERIAU!$1:$1,0))</f>
        <v>210000</v>
      </c>
      <c r="D8" s="13">
        <f>INDEX(MATERIAU!$A:$F,MATCH($B8,MATERIAU!$A:$A,0),MATCH(D$6,MATERIAU!$1:$1,0))</f>
        <v>7850</v>
      </c>
      <c r="E8" s="13">
        <f>INDEX(MATERIAU!$A:$F,MATCH($B8,MATERIAU!$A:$A,0),MATCH(E$6,MATERIAU!$1:$1,0))</f>
        <v>0.300003714296327</v>
      </c>
      <c r="F8" s="13">
        <f>INDEX(MATERIAU!$A:$F,MATCH($B8,MATERIAU!$A:$A,0),MATCH(F$6,MATERIAU!$1:$1,0))</f>
        <v>235</v>
      </c>
      <c r="G8" s="73">
        <f>INDEX(MATERIAU!$A:$F,MATCH($B8,MATERIAU!$A:$A,0),MATCH(G$6,MATERIAU!$1:$1,0))</f>
        <v>340</v>
      </c>
      <c r="J8" s="40"/>
      <c r="K8" s="4"/>
      <c r="AA8" s="57"/>
    </row>
    <row r="9" spans="1:27" s="38" customFormat="1" ht="12.75" customHeight="1" x14ac:dyDescent="0.2">
      <c r="A9" s="128"/>
      <c r="B9" s="36"/>
      <c r="C9" s="37"/>
      <c r="D9" s="37"/>
      <c r="E9" s="37"/>
      <c r="F9" s="37"/>
      <c r="G9" s="37"/>
      <c r="H9" s="37"/>
      <c r="L9" s="39"/>
      <c r="AA9" s="57"/>
    </row>
    <row r="10" spans="1:27" s="79" customFormat="1" ht="12.75" customHeight="1" x14ac:dyDescent="0.2">
      <c r="A10" s="124"/>
      <c r="B10" s="75" t="s">
        <v>95</v>
      </c>
      <c r="C10" s="76" t="s">
        <v>118</v>
      </c>
      <c r="D10" s="77" t="s">
        <v>94</v>
      </c>
      <c r="E10" s="77" t="s">
        <v>1</v>
      </c>
      <c r="F10" s="77" t="s">
        <v>133</v>
      </c>
      <c r="G10" s="77" t="s">
        <v>134</v>
      </c>
      <c r="H10" s="77" t="s">
        <v>135</v>
      </c>
      <c r="I10" s="77" t="s">
        <v>136</v>
      </c>
      <c r="J10" s="77" t="s">
        <v>137</v>
      </c>
      <c r="K10" s="77" t="s">
        <v>138</v>
      </c>
      <c r="L10" s="77" t="s">
        <v>139</v>
      </c>
      <c r="M10" s="77" t="s">
        <v>140</v>
      </c>
      <c r="N10" s="77" t="s">
        <v>141</v>
      </c>
      <c r="O10" s="77" t="s">
        <v>142</v>
      </c>
      <c r="P10" s="77" t="s">
        <v>143</v>
      </c>
      <c r="Q10" s="77" t="s">
        <v>144</v>
      </c>
      <c r="R10" s="77" t="s">
        <v>145</v>
      </c>
      <c r="S10" s="77" t="s">
        <v>146</v>
      </c>
      <c r="T10" s="77" t="s">
        <v>147</v>
      </c>
      <c r="U10" s="77" t="s">
        <v>148</v>
      </c>
      <c r="V10" s="77" t="s">
        <v>149</v>
      </c>
      <c r="W10" s="77" t="s">
        <v>150</v>
      </c>
      <c r="X10" s="77" t="s">
        <v>151</v>
      </c>
      <c r="Y10" s="77" t="s">
        <v>152</v>
      </c>
      <c r="Z10" s="77" t="s">
        <v>153</v>
      </c>
      <c r="AA10" s="78"/>
    </row>
    <row r="11" spans="1:27" s="44" customFormat="1" ht="12.75" customHeight="1" x14ac:dyDescent="0.2">
      <c r="A11" s="125">
        <f>IF(OR(A26=2,A26=4),C11,"-")</f>
        <v>1278</v>
      </c>
      <c r="B11" s="44" t="s">
        <v>102</v>
      </c>
      <c r="C11" s="55">
        <v>1278</v>
      </c>
      <c r="D11" s="46">
        <v>0</v>
      </c>
      <c r="E11" s="45">
        <v>500</v>
      </c>
      <c r="F11" s="45">
        <v>1000</v>
      </c>
      <c r="G11" s="45">
        <v>1700</v>
      </c>
      <c r="H11" s="45">
        <v>2151</v>
      </c>
      <c r="I11" s="45">
        <v>2500</v>
      </c>
      <c r="J11" s="45">
        <v>3000</v>
      </c>
      <c r="K11" s="47"/>
      <c r="L11" s="47"/>
      <c r="M11" s="47"/>
      <c r="N11" s="45"/>
      <c r="O11" s="45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63"/>
    </row>
    <row r="12" spans="1:27" s="44" customFormat="1" ht="12.75" customHeight="1" x14ac:dyDescent="0.2">
      <c r="B12" s="44" t="s">
        <v>103</v>
      </c>
      <c r="C12" s="65"/>
      <c r="D12" s="45"/>
      <c r="E12" s="45" t="s">
        <v>104</v>
      </c>
      <c r="F12" s="45"/>
      <c r="G12" s="45"/>
      <c r="H12" s="45"/>
      <c r="I12" s="45" t="s">
        <v>104</v>
      </c>
      <c r="J12" s="45"/>
      <c r="K12" s="47"/>
      <c r="L12" s="47"/>
      <c r="M12" s="47"/>
      <c r="N12" s="45"/>
      <c r="O12" s="45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63"/>
    </row>
    <row r="13" spans="1:27" s="44" customFormat="1" ht="12.75" customHeight="1" x14ac:dyDescent="0.2">
      <c r="A13" s="125">
        <f>SUM($D$13:$AA$13)</f>
        <v>-500</v>
      </c>
      <c r="B13" s="44" t="s">
        <v>106</v>
      </c>
      <c r="C13" s="65"/>
      <c r="D13" s="45">
        <v>-500</v>
      </c>
      <c r="E13" s="45"/>
      <c r="F13" s="45"/>
      <c r="G13" s="45"/>
      <c r="H13" s="45"/>
      <c r="I13" s="45"/>
      <c r="J13" s="45"/>
      <c r="K13" s="47"/>
      <c r="L13" s="47"/>
      <c r="M13" s="47"/>
      <c r="N13" s="45"/>
      <c r="O13" s="45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63"/>
    </row>
    <row r="14" spans="1:27" s="49" customFormat="1" ht="12.75" hidden="1" customHeight="1" x14ac:dyDescent="0.2">
      <c r="A14" s="48">
        <f>SUMPRODUCT($D$11:$AA$11,$D$13:$AA$13)</f>
        <v>0</v>
      </c>
      <c r="B14" s="49" t="s">
        <v>115</v>
      </c>
      <c r="C14" s="65"/>
      <c r="D14" s="48">
        <f t="shared" ref="D14:Z14" si="0">IF(D$12&lt;&gt;"",((SUMIF($D$12:$AA$12,"&lt;&gt;",$D$11:$AA$11)-D$11)*$A$13-$A$14)/(D$11-(SUMIF($D$12:$AA$12,"&lt;&gt;",$D$11:$AA$11)-D$11)),)</f>
        <v>0</v>
      </c>
      <c r="E14" s="48">
        <f t="shared" si="0"/>
        <v>625</v>
      </c>
      <c r="F14" s="48">
        <f t="shared" si="0"/>
        <v>0</v>
      </c>
      <c r="G14" s="48">
        <f t="shared" si="0"/>
        <v>0</v>
      </c>
      <c r="H14" s="48">
        <f t="shared" si="0"/>
        <v>0</v>
      </c>
      <c r="I14" s="48">
        <f t="shared" si="0"/>
        <v>-125</v>
      </c>
      <c r="J14" s="48">
        <f t="shared" si="0"/>
        <v>0</v>
      </c>
      <c r="K14" s="48">
        <f t="shared" si="0"/>
        <v>0</v>
      </c>
      <c r="L14" s="48">
        <f t="shared" si="0"/>
        <v>0</v>
      </c>
      <c r="M14" s="48">
        <f t="shared" si="0"/>
        <v>0</v>
      </c>
      <c r="N14" s="48">
        <f t="shared" si="0"/>
        <v>0</v>
      </c>
      <c r="O14" s="48">
        <f t="shared" si="0"/>
        <v>0</v>
      </c>
      <c r="P14" s="48">
        <f t="shared" si="0"/>
        <v>0</v>
      </c>
      <c r="Q14" s="48">
        <f t="shared" si="0"/>
        <v>0</v>
      </c>
      <c r="R14" s="48">
        <f t="shared" si="0"/>
        <v>0</v>
      </c>
      <c r="S14" s="48">
        <f t="shared" si="0"/>
        <v>0</v>
      </c>
      <c r="T14" s="48">
        <f t="shared" si="0"/>
        <v>0</v>
      </c>
      <c r="U14" s="48">
        <f t="shared" si="0"/>
        <v>0</v>
      </c>
      <c r="V14" s="48">
        <f t="shared" si="0"/>
        <v>0</v>
      </c>
      <c r="W14" s="48">
        <f t="shared" si="0"/>
        <v>0</v>
      </c>
      <c r="X14" s="48">
        <f t="shared" si="0"/>
        <v>0</v>
      </c>
      <c r="Y14" s="48">
        <f t="shared" si="0"/>
        <v>0</v>
      </c>
      <c r="Z14" s="48">
        <f t="shared" si="0"/>
        <v>0</v>
      </c>
      <c r="AA14" s="61"/>
    </row>
    <row r="15" spans="1:27" s="49" customFormat="1" ht="12.75" hidden="1" customHeight="1" x14ac:dyDescent="0.2">
      <c r="A15" s="48"/>
      <c r="B15" s="49" t="s">
        <v>116</v>
      </c>
      <c r="C15" s="65">
        <f ca="1">INDEX(D15:Z15,C19)+(C11-INDEX(D11:Z11,C19))*SUM(INDIRECT("D13:" &amp; ADDRESS(13,C19+3)),INDIRECT("D14:" &amp; ADDRESS(14,C19+3)))</f>
        <v>-152750</v>
      </c>
      <c r="D15" s="48">
        <v>0</v>
      </c>
      <c r="E15" s="48">
        <f>D$15+(E$11-D$11)*SUM($D$13:D$13,$D$14:D$14)</f>
        <v>-250000</v>
      </c>
      <c r="F15" s="48">
        <f>E$15+(F$11-E$11)*SUM($D$13:E$13,$D$14:E$14)</f>
        <v>-187500</v>
      </c>
      <c r="G15" s="48">
        <f>F$15+(G$11-F$11)*SUM($D$13:F$13,$D$14:F$14)</f>
        <v>-100000</v>
      </c>
      <c r="H15" s="48">
        <f>G$15+(H$11-G$11)*SUM($D$13:G$13,$D$14:G$14)</f>
        <v>-43625</v>
      </c>
      <c r="I15" s="48">
        <f>H$15+(I$11-H$11)*SUM($D$13:H$13,$D$14:H$14)</f>
        <v>0</v>
      </c>
      <c r="J15" s="48">
        <f>I$15+(J$11-I$11)*SUM($D$13:I$13,$D$14:I$14)</f>
        <v>0</v>
      </c>
      <c r="K15" s="48">
        <f>J$15+(K$11-J$11)*SUM($D$13:J$13,$D$14:J$14)</f>
        <v>0</v>
      </c>
      <c r="L15" s="48">
        <f>K$15+(L$11-K$11)*SUM($D$13:K$13,$D$14:K$14)</f>
        <v>0</v>
      </c>
      <c r="M15" s="48">
        <f>L$15+(M$11-L$11)*SUM($D$13:L$13,$D$14:L$14)</f>
        <v>0</v>
      </c>
      <c r="N15" s="48">
        <f>M$15+(N$11-M$11)*SUM($D$13:M$13,$D$14:M$14)</f>
        <v>0</v>
      </c>
      <c r="O15" s="48">
        <f>N$15+(O$11-N$11)*SUM($D$13:N$13,$D$14:N$14)</f>
        <v>0</v>
      </c>
      <c r="P15" s="48">
        <f>O$15+(P$11-O$11)*SUM($D$13:O$13,$D$14:O$14)</f>
        <v>0</v>
      </c>
      <c r="Q15" s="48">
        <f>P$15+(Q$11-P$11)*SUM($D$13:P$13,$D$14:P$14)</f>
        <v>0</v>
      </c>
      <c r="R15" s="48">
        <f>Q$15+(R$11-Q$11)*SUM($D$13:Q$13,$D$14:Q$14)</f>
        <v>0</v>
      </c>
      <c r="S15" s="48">
        <f>R$15+(S$11-R$11)*SUM($D$13:R$13,$D$14:R$14)</f>
        <v>0</v>
      </c>
      <c r="T15" s="48">
        <f>S$15+(T$11-S$11)*SUM($D$13:S$13,$D$14:S$14)</f>
        <v>0</v>
      </c>
      <c r="U15" s="48">
        <f>T$15+(U$11-T$11)*SUM($D$13:T$13,$D$14:T$14)</f>
        <v>0</v>
      </c>
      <c r="V15" s="48">
        <f>U$15+(V$11-U$11)*SUM($D$13:U$13,$D$14:U$14)</f>
        <v>0</v>
      </c>
      <c r="W15" s="48">
        <f>V$15+(W$11-V$11)*SUM($D$13:V$13,$D$14:V$14)</f>
        <v>0</v>
      </c>
      <c r="X15" s="48">
        <f>W$15+(X$11-W$11)*SUM($D$13:W$13,$D$14:W$14)</f>
        <v>0</v>
      </c>
      <c r="Y15" s="48">
        <f>X$15+(Y$11-X$11)*SUM($D$13:X$13,$D$14:X$14)</f>
        <v>0</v>
      </c>
      <c r="Z15" s="48">
        <f>Y$15+(Z$11-Y$11)*SUM($D$13:Y$13,$D$14:Y$14)</f>
        <v>0</v>
      </c>
      <c r="AA15" s="61"/>
    </row>
    <row r="16" spans="1:27" s="44" customFormat="1" ht="12.75" customHeight="1" x14ac:dyDescent="0.2">
      <c r="A16" s="125"/>
      <c r="B16" s="44" t="s">
        <v>107</v>
      </c>
      <c r="C16" s="64"/>
      <c r="D16" s="50"/>
      <c r="E16" s="50">
        <v>-2</v>
      </c>
      <c r="F16" s="50">
        <v>-2</v>
      </c>
      <c r="G16" s="50"/>
      <c r="H16" s="50"/>
      <c r="I16" s="50">
        <v>-2</v>
      </c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1"/>
      <c r="U16" s="47"/>
      <c r="V16" s="47"/>
      <c r="W16" s="47"/>
      <c r="X16" s="47"/>
      <c r="Y16" s="47"/>
      <c r="Z16" s="47"/>
      <c r="AA16" s="63"/>
    </row>
    <row r="17" spans="1:27" s="49" customFormat="1" ht="12.75" hidden="1" customHeight="1" x14ac:dyDescent="0.2">
      <c r="A17" s="48"/>
      <c r="B17" s="49" t="s">
        <v>114</v>
      </c>
      <c r="C17" s="65">
        <f>C11-INDEX(D11:Z11,C19)</f>
        <v>278</v>
      </c>
      <c r="D17" s="52">
        <f t="shared" ref="D17:I17" si="1">IF(E$11&lt;&gt;"",E$11-D$11,)</f>
        <v>500</v>
      </c>
      <c r="E17" s="52">
        <f t="shared" si="1"/>
        <v>500</v>
      </c>
      <c r="F17" s="52">
        <f t="shared" si="1"/>
        <v>700</v>
      </c>
      <c r="G17" s="52">
        <f t="shared" si="1"/>
        <v>451</v>
      </c>
      <c r="H17" s="52">
        <f t="shared" si="1"/>
        <v>349</v>
      </c>
      <c r="I17" s="52">
        <f t="shared" si="1"/>
        <v>500</v>
      </c>
      <c r="J17" s="52">
        <f t="shared" ref="J17:Y17" si="2">IF(K$11&lt;&gt;"",K$11-J$11,)</f>
        <v>0</v>
      </c>
      <c r="K17" s="52">
        <f t="shared" si="2"/>
        <v>0</v>
      </c>
      <c r="L17" s="52">
        <f t="shared" si="2"/>
        <v>0</v>
      </c>
      <c r="M17" s="52">
        <f t="shared" si="2"/>
        <v>0</v>
      </c>
      <c r="N17" s="52">
        <f t="shared" si="2"/>
        <v>0</v>
      </c>
      <c r="O17" s="52">
        <f t="shared" si="2"/>
        <v>0</v>
      </c>
      <c r="P17" s="52">
        <f t="shared" si="2"/>
        <v>0</v>
      </c>
      <c r="Q17" s="52">
        <f t="shared" si="2"/>
        <v>0</v>
      </c>
      <c r="R17" s="52">
        <f t="shared" si="2"/>
        <v>0</v>
      </c>
      <c r="S17" s="52">
        <f t="shared" si="2"/>
        <v>0</v>
      </c>
      <c r="T17" s="52">
        <f t="shared" si="2"/>
        <v>0</v>
      </c>
      <c r="U17" s="52">
        <f t="shared" si="2"/>
        <v>0</v>
      </c>
      <c r="V17" s="52">
        <f t="shared" si="2"/>
        <v>0</v>
      </c>
      <c r="W17" s="52">
        <f t="shared" si="2"/>
        <v>0</v>
      </c>
      <c r="X17" s="52">
        <f t="shared" si="2"/>
        <v>0</v>
      </c>
      <c r="Y17" s="52">
        <f t="shared" si="2"/>
        <v>0</v>
      </c>
      <c r="Z17" s="52">
        <f>IF(AA$11&lt;&gt;"",AA$11-Z$11,)</f>
        <v>0</v>
      </c>
      <c r="AA17" s="62"/>
    </row>
    <row r="18" spans="1:27" s="49" customFormat="1" ht="12.75" hidden="1" customHeight="1" x14ac:dyDescent="0.2">
      <c r="A18" s="48">
        <f>SUM($D$18:$AA$18)</f>
        <v>-3400</v>
      </c>
      <c r="B18" s="49" t="s">
        <v>113</v>
      </c>
      <c r="C18" s="65">
        <f>C17*INDEX(D16:Z16,C19)</f>
        <v>-556</v>
      </c>
      <c r="D18" s="52">
        <f>D$17*D$16</f>
        <v>0</v>
      </c>
      <c r="E18" s="52">
        <f t="shared" ref="E18:Z18" si="3">E$17*E$16</f>
        <v>-1000</v>
      </c>
      <c r="F18" s="52">
        <f t="shared" si="3"/>
        <v>-1400</v>
      </c>
      <c r="G18" s="52">
        <f t="shared" si="3"/>
        <v>0</v>
      </c>
      <c r="H18" s="52">
        <f t="shared" si="3"/>
        <v>0</v>
      </c>
      <c r="I18" s="52">
        <f t="shared" si="3"/>
        <v>-1000</v>
      </c>
      <c r="J18" s="52">
        <f t="shared" si="3"/>
        <v>0</v>
      </c>
      <c r="K18" s="52">
        <f t="shared" si="3"/>
        <v>0</v>
      </c>
      <c r="L18" s="52">
        <f>L$17*L$16</f>
        <v>0</v>
      </c>
      <c r="M18" s="52">
        <f t="shared" si="3"/>
        <v>0</v>
      </c>
      <c r="N18" s="52">
        <f t="shared" si="3"/>
        <v>0</v>
      </c>
      <c r="O18" s="52">
        <f t="shared" si="3"/>
        <v>0</v>
      </c>
      <c r="P18" s="52">
        <f t="shared" si="3"/>
        <v>0</v>
      </c>
      <c r="Q18" s="52">
        <f t="shared" si="3"/>
        <v>0</v>
      </c>
      <c r="R18" s="52">
        <f t="shared" si="3"/>
        <v>0</v>
      </c>
      <c r="S18" s="52">
        <f t="shared" si="3"/>
        <v>0</v>
      </c>
      <c r="T18" s="52">
        <f t="shared" si="3"/>
        <v>0</v>
      </c>
      <c r="U18" s="52">
        <f t="shared" si="3"/>
        <v>0</v>
      </c>
      <c r="V18" s="52">
        <f t="shared" si="3"/>
        <v>0</v>
      </c>
      <c r="W18" s="52">
        <f t="shared" si="3"/>
        <v>0</v>
      </c>
      <c r="X18" s="52">
        <f t="shared" si="3"/>
        <v>0</v>
      </c>
      <c r="Y18" s="52">
        <f t="shared" si="3"/>
        <v>0</v>
      </c>
      <c r="Z18" s="52">
        <f t="shared" si="3"/>
        <v>0</v>
      </c>
      <c r="AA18" s="62"/>
    </row>
    <row r="19" spans="1:27" s="49" customFormat="1" ht="12.75" hidden="1" customHeight="1" x14ac:dyDescent="0.2">
      <c r="A19" s="48">
        <f>SUMPRODUCT($D$16:$AA$16,$D$19:$AA$19)/2</f>
        <v>-5390000</v>
      </c>
      <c r="C19" s="67">
        <f>MATCH($C$11,$D$11:$Z$11,1)</f>
        <v>3</v>
      </c>
      <c r="D19" s="52">
        <f t="shared" ref="D19:I19" si="4">POWER(E$11,2)-POWER(D$11,2)</f>
        <v>250000</v>
      </c>
      <c r="E19" s="52">
        <f t="shared" si="4"/>
        <v>750000</v>
      </c>
      <c r="F19" s="52">
        <f t="shared" si="4"/>
        <v>1890000</v>
      </c>
      <c r="G19" s="52">
        <f t="shared" si="4"/>
        <v>1736801</v>
      </c>
      <c r="H19" s="52">
        <f t="shared" si="4"/>
        <v>1623199</v>
      </c>
      <c r="I19" s="52">
        <f t="shared" si="4"/>
        <v>2750000</v>
      </c>
      <c r="J19" s="52">
        <f t="shared" ref="J19:Y19" si="5">POWER(K$11,2)-POWER(J$11,2)</f>
        <v>-9000000</v>
      </c>
      <c r="K19" s="52">
        <f t="shared" si="5"/>
        <v>0</v>
      </c>
      <c r="L19" s="52">
        <f t="shared" si="5"/>
        <v>0</v>
      </c>
      <c r="M19" s="52">
        <f t="shared" si="5"/>
        <v>0</v>
      </c>
      <c r="N19" s="52">
        <f t="shared" si="5"/>
        <v>0</v>
      </c>
      <c r="O19" s="52">
        <f t="shared" si="5"/>
        <v>0</v>
      </c>
      <c r="P19" s="52">
        <f t="shared" si="5"/>
        <v>0</v>
      </c>
      <c r="Q19" s="52">
        <f t="shared" si="5"/>
        <v>0</v>
      </c>
      <c r="R19" s="52">
        <f t="shared" si="5"/>
        <v>0</v>
      </c>
      <c r="S19" s="52">
        <f t="shared" si="5"/>
        <v>0</v>
      </c>
      <c r="T19" s="52">
        <f t="shared" si="5"/>
        <v>0</v>
      </c>
      <c r="U19" s="52">
        <f t="shared" si="5"/>
        <v>0</v>
      </c>
      <c r="V19" s="52">
        <f t="shared" si="5"/>
        <v>0</v>
      </c>
      <c r="W19" s="52">
        <f t="shared" si="5"/>
        <v>0</v>
      </c>
      <c r="X19" s="52">
        <f t="shared" si="5"/>
        <v>0</v>
      </c>
      <c r="Y19" s="52">
        <f t="shared" si="5"/>
        <v>0</v>
      </c>
      <c r="Z19" s="52">
        <f>POWER(AA$11,2)-POWER(Z$11,2)</f>
        <v>0</v>
      </c>
      <c r="AA19" s="52"/>
    </row>
    <row r="20" spans="1:27" s="49" customFormat="1" ht="12.75" hidden="1" customHeight="1" x14ac:dyDescent="0.2">
      <c r="A20" s="48"/>
      <c r="B20" s="49" t="s">
        <v>115</v>
      </c>
      <c r="C20" s="65"/>
      <c r="D20" s="48">
        <f t="shared" ref="D20:Z20" si="6">IF(D$12&lt;&gt;"",((SUMIF($D$12:$AA$12,"&lt;&gt;",$D$11:$AA$11)-D$11)*$A$18-$A$19)/(D$11-(SUMIF($D$12:$AA$12,"&lt;&gt;",$D$11:$AA$11)-D$11)),)</f>
        <v>0</v>
      </c>
      <c r="E20" s="48">
        <f t="shared" si="6"/>
        <v>1555</v>
      </c>
      <c r="F20" s="48">
        <f t="shared" si="6"/>
        <v>0</v>
      </c>
      <c r="G20" s="48">
        <f t="shared" si="6"/>
        <v>0</v>
      </c>
      <c r="H20" s="48">
        <f t="shared" si="6"/>
        <v>0</v>
      </c>
      <c r="I20" s="48">
        <f t="shared" si="6"/>
        <v>1845</v>
      </c>
      <c r="J20" s="48">
        <f t="shared" si="6"/>
        <v>0</v>
      </c>
      <c r="K20" s="48">
        <f t="shared" si="6"/>
        <v>0</v>
      </c>
      <c r="L20" s="48">
        <f t="shared" si="6"/>
        <v>0</v>
      </c>
      <c r="M20" s="48">
        <f t="shared" si="6"/>
        <v>0</v>
      </c>
      <c r="N20" s="48">
        <f t="shared" si="6"/>
        <v>0</v>
      </c>
      <c r="O20" s="48">
        <f t="shared" si="6"/>
        <v>0</v>
      </c>
      <c r="P20" s="48">
        <f t="shared" si="6"/>
        <v>0</v>
      </c>
      <c r="Q20" s="48">
        <f t="shared" si="6"/>
        <v>0</v>
      </c>
      <c r="R20" s="48">
        <f t="shared" si="6"/>
        <v>0</v>
      </c>
      <c r="S20" s="48">
        <f t="shared" si="6"/>
        <v>0</v>
      </c>
      <c r="T20" s="48">
        <f t="shared" si="6"/>
        <v>0</v>
      </c>
      <c r="U20" s="48">
        <f t="shared" si="6"/>
        <v>0</v>
      </c>
      <c r="V20" s="48">
        <f t="shared" si="6"/>
        <v>0</v>
      </c>
      <c r="W20" s="48">
        <f t="shared" si="6"/>
        <v>0</v>
      </c>
      <c r="X20" s="48">
        <f t="shared" si="6"/>
        <v>0</v>
      </c>
      <c r="Y20" s="48">
        <f t="shared" si="6"/>
        <v>0</v>
      </c>
      <c r="Z20" s="48">
        <f t="shared" si="6"/>
        <v>0</v>
      </c>
      <c r="AA20" s="48"/>
    </row>
    <row r="21" spans="1:27" s="49" customFormat="1" ht="12.75" hidden="1" customHeight="1" x14ac:dyDescent="0.2">
      <c r="A21" s="48"/>
      <c r="B21" s="49" t="s">
        <v>116</v>
      </c>
      <c r="C21" s="65">
        <f ca="1">INDEX(D21:Z21,C19)+C17*(SUM(IF(C19=1,,INDIRECT("D18:" &amp; ADDRESS(18,C19+2))),INDIRECT("D20:" &amp; ADDRESS(20,C19+3)))+C18/2)</f>
        <v>604506</v>
      </c>
      <c r="D21" s="48">
        <v>0</v>
      </c>
      <c r="E21" s="48">
        <f>D$21+(E$11-D$11)*(SUM($D$18:D$18,$D$20:D$20)-D$18/2)</f>
        <v>0</v>
      </c>
      <c r="F21" s="48">
        <f>E$21+(F$11-E$11)*(SUM($D$18:E$18,$D$20:E$20)-E$18/2)</f>
        <v>527500</v>
      </c>
      <c r="G21" s="48">
        <f>F$21+(G$11-F$11)*(SUM($D$18:F$18,$D$20:F$20)-F$18/2)</f>
        <v>426000</v>
      </c>
      <c r="H21" s="48">
        <f>G$21+(H$11-G$11)*(SUM($D$18:G$18,$D$20:G$20)-G$18/2)</f>
        <v>44905</v>
      </c>
      <c r="I21" s="48">
        <f>H$21+(I$11-H$11)*(SUM($D$18:H$18,$D$20:H$20)-H$18/2)</f>
        <v>-250000</v>
      </c>
      <c r="J21" s="48">
        <f>I$21+(J$11-I$11)*(SUM($D$18:I$18,$D$20:I$20)-I$18/2)</f>
        <v>0</v>
      </c>
      <c r="K21" s="48">
        <f>J$21+(K$11-J$11)*(SUM($D$18:J$18,$D$20:J$20)-J$18/2)</f>
        <v>0</v>
      </c>
      <c r="L21" s="48">
        <f>K$21+(L$11-K$11)*(SUM($D$18:K$18,$D$20:K$20)-K$18/2)</f>
        <v>0</v>
      </c>
      <c r="M21" s="48">
        <f>L$21+(M$11-L$11)*(SUM($D$18:L$18,$D$20:L$20)-L$18/2)</f>
        <v>0</v>
      </c>
      <c r="N21" s="48">
        <f>M$21+(N$11-M$11)*(SUM($D$18:M$18,$D$20:M$20)-M$18/2)</f>
        <v>0</v>
      </c>
      <c r="O21" s="48">
        <f>N$21+(O$11-N$11)*(SUM($D$18:N$18,$D$20:N$20)-N$18/2)</f>
        <v>0</v>
      </c>
      <c r="P21" s="48">
        <f>O$21+(P$11-O$11)*(SUM($D$18:O$18,$D$20:O$20)-O$18/2)</f>
        <v>0</v>
      </c>
      <c r="Q21" s="48">
        <f>P$21+(Q$11-P$11)*(SUM($D$18:P$18,$D$20:P$20)-P$18/2)</f>
        <v>0</v>
      </c>
      <c r="R21" s="48">
        <f>Q$21+(R$11-Q$11)*(SUM($D$18:Q$18,$D$20:Q$20)-Q$18/2)</f>
        <v>0</v>
      </c>
      <c r="S21" s="48">
        <f>R$21+(S$11-R$11)*(SUM($D$18:R$18,$D$20:R$20)-R$18/2)</f>
        <v>0</v>
      </c>
      <c r="T21" s="48">
        <f>S$21+(T$11-S$11)*(SUM($D$18:S$18,$D$20:S$20)-S$18/2)</f>
        <v>0</v>
      </c>
      <c r="U21" s="48">
        <f>T$21+(U$11-T$11)*(SUM($D$18:T$18,$D$20:T$20)-T$18/2)</f>
        <v>0</v>
      </c>
      <c r="V21" s="48">
        <f>U$21+(V$11-U$11)*(SUM($D$18:U$18,$D$20:U$20)-U$18/2)</f>
        <v>0</v>
      </c>
      <c r="W21" s="48">
        <f>V$21+(W$11-V$11)*(SUM($D$18:V$18,$D$20:V$20)-V$18/2)</f>
        <v>0</v>
      </c>
      <c r="X21" s="48">
        <f>W$21+(X$11-W$11)*(SUM($D$18:W$18,$D$20:W$20)-W$18/2)</f>
        <v>0</v>
      </c>
      <c r="Y21" s="48">
        <f>X$21+(Y$11-X$11)*(SUM($D$18:X$18,$D$20:X$20)-X$18/2)</f>
        <v>0</v>
      </c>
      <c r="Z21" s="48">
        <f>Y$21+(Z$11-Y$11)*(SUM($D$18:Y$18,$D$20:Y$20)-Y$18/2)</f>
        <v>0</v>
      </c>
      <c r="AA21" s="48"/>
    </row>
    <row r="22" spans="1:27" s="54" customFormat="1" ht="12.75" customHeight="1" x14ac:dyDescent="0.2">
      <c r="A22" s="130">
        <f ca="1">INDEX(Données!$R$10:$R$500,A23)</f>
        <v>-0.40542295332428291</v>
      </c>
      <c r="B22" s="53" t="s">
        <v>115</v>
      </c>
      <c r="C22" s="66"/>
      <c r="D22" s="54">
        <f>D$14+D$20</f>
        <v>0</v>
      </c>
      <c r="E22" s="54">
        <f t="shared" ref="E22:Z22" si="7">E$14+E$20</f>
        <v>2180</v>
      </c>
      <c r="F22" s="54">
        <f t="shared" si="7"/>
        <v>0</v>
      </c>
      <c r="G22" s="54">
        <f t="shared" si="7"/>
        <v>0</v>
      </c>
      <c r="H22" s="54">
        <f t="shared" si="7"/>
        <v>0</v>
      </c>
      <c r="I22" s="54">
        <f t="shared" si="7"/>
        <v>1720</v>
      </c>
      <c r="J22" s="54">
        <f t="shared" si="7"/>
        <v>0</v>
      </c>
      <c r="K22" s="54">
        <f t="shared" si="7"/>
        <v>0</v>
      </c>
      <c r="L22" s="54">
        <f t="shared" si="7"/>
        <v>0</v>
      </c>
      <c r="M22" s="54">
        <f t="shared" si="7"/>
        <v>0</v>
      </c>
      <c r="N22" s="54">
        <f t="shared" si="7"/>
        <v>0</v>
      </c>
      <c r="O22" s="54">
        <f t="shared" si="7"/>
        <v>0</v>
      </c>
      <c r="P22" s="54">
        <f t="shared" si="7"/>
        <v>0</v>
      </c>
      <c r="Q22" s="54">
        <f t="shared" si="7"/>
        <v>0</v>
      </c>
      <c r="R22" s="54">
        <f t="shared" si="7"/>
        <v>0</v>
      </c>
      <c r="S22" s="54">
        <f t="shared" si="7"/>
        <v>0</v>
      </c>
      <c r="T22" s="54">
        <f t="shared" si="7"/>
        <v>0</v>
      </c>
      <c r="U22" s="54">
        <f t="shared" si="7"/>
        <v>0</v>
      </c>
      <c r="V22" s="54">
        <f t="shared" si="7"/>
        <v>0</v>
      </c>
      <c r="W22" s="54">
        <f t="shared" si="7"/>
        <v>0</v>
      </c>
      <c r="X22" s="54">
        <f t="shared" si="7"/>
        <v>0</v>
      </c>
      <c r="Y22" s="54">
        <f t="shared" si="7"/>
        <v>0</v>
      </c>
      <c r="Z22" s="54">
        <f t="shared" si="7"/>
        <v>0</v>
      </c>
    </row>
    <row r="23" spans="1:27" s="104" customFormat="1" ht="12.75" customHeight="1" x14ac:dyDescent="0.2">
      <c r="A23" s="131">
        <f>MATCH(C$11,Données!$D$10:$D$500,1)</f>
        <v>86</v>
      </c>
      <c r="B23" s="103" t="s">
        <v>128</v>
      </c>
      <c r="C23" s="105">
        <f ca="1">$C15+$C21</f>
        <v>451756</v>
      </c>
      <c r="D23" s="104">
        <f>D$15+D$21</f>
        <v>0</v>
      </c>
      <c r="E23" s="104">
        <f t="shared" ref="E23:Z23" si="8">E$15+E$21</f>
        <v>-250000</v>
      </c>
      <c r="F23" s="104">
        <f t="shared" si="8"/>
        <v>340000</v>
      </c>
      <c r="G23" s="104">
        <f t="shared" si="8"/>
        <v>326000</v>
      </c>
      <c r="H23" s="104">
        <f t="shared" si="8"/>
        <v>1280</v>
      </c>
      <c r="I23" s="104">
        <f t="shared" si="8"/>
        <v>-250000</v>
      </c>
      <c r="J23" s="104">
        <f t="shared" si="8"/>
        <v>0</v>
      </c>
      <c r="K23" s="104">
        <f t="shared" si="8"/>
        <v>0</v>
      </c>
      <c r="L23" s="104">
        <f t="shared" si="8"/>
        <v>0</v>
      </c>
      <c r="M23" s="104">
        <f t="shared" si="8"/>
        <v>0</v>
      </c>
      <c r="N23" s="104">
        <f t="shared" si="8"/>
        <v>0</v>
      </c>
      <c r="O23" s="104">
        <f t="shared" si="8"/>
        <v>0</v>
      </c>
      <c r="P23" s="104">
        <f t="shared" si="8"/>
        <v>0</v>
      </c>
      <c r="Q23" s="104">
        <f t="shared" si="8"/>
        <v>0</v>
      </c>
      <c r="R23" s="104">
        <f t="shared" si="8"/>
        <v>0</v>
      </c>
      <c r="S23" s="104">
        <f t="shared" si="8"/>
        <v>0</v>
      </c>
      <c r="T23" s="104">
        <f t="shared" si="8"/>
        <v>0</v>
      </c>
      <c r="U23" s="104">
        <f t="shared" si="8"/>
        <v>0</v>
      </c>
      <c r="V23" s="104">
        <f t="shared" si="8"/>
        <v>0</v>
      </c>
      <c r="W23" s="104">
        <f t="shared" si="8"/>
        <v>0</v>
      </c>
      <c r="X23" s="104">
        <f t="shared" si="8"/>
        <v>0</v>
      </c>
      <c r="Y23" s="104">
        <f t="shared" si="8"/>
        <v>0</v>
      </c>
      <c r="Z23" s="104">
        <f t="shared" si="8"/>
        <v>0</v>
      </c>
    </row>
    <row r="24" spans="1:27" s="108" customFormat="1" ht="12.75" customHeight="1" x14ac:dyDescent="0.2">
      <c r="A24" s="131">
        <f ca="1">(INDEX(Données!$R$10:$R$500,A23+1)-A22)</f>
        <v>-2.5644407915622613E-3</v>
      </c>
      <c r="B24" s="106" t="s">
        <v>164</v>
      </c>
      <c r="C24" s="109">
        <f ca="1">A22+A24*(C11-INDEX(Données!$D$10:$D$500,A23))/Données!$A$2</f>
        <v>-0.40593584148259537</v>
      </c>
      <c r="D24" s="110">
        <f ca="1">INDEX(Données!$R$10:$R$500,MATCH(D$11,Données!$D$10:$D$500,0))</f>
        <v>0.24882979156223894</v>
      </c>
      <c r="E24" s="110">
        <f ca="1">INDEX(Données!$R$10:$R$500,MATCH(E$11,Données!$D$10:$D$500,0))</f>
        <v>0</v>
      </c>
      <c r="F24" s="110">
        <f ca="1">INDEX(Données!$R$10:$R$500,MATCH(F$11,Données!$D$10:$D$500,0))</f>
        <v>-0.31087420815928712</v>
      </c>
      <c r="G24" s="110">
        <f ca="1">INDEX(Données!$R$10:$R$500,MATCH(G$11,Données!$D$10:$D$500,0))</f>
        <v>-0.37153214302422721</v>
      </c>
      <c r="H24" s="110">
        <f ca="1">INDEX(Données!$R$10:$R$500,MATCH(H$11,Données!$D$10:$D$500,0))</f>
        <v>-0.16772636809050401</v>
      </c>
      <c r="I24" s="110">
        <f ca="1">INDEX(Données!$R$10:$R$500,MATCH(I$11,Données!$D$10:$D$500,0))</f>
        <v>0</v>
      </c>
      <c r="J24" s="110">
        <f ca="1">INDEX(Données!$R$10:$R$500,MATCH(J$11,Données!$D$10:$D$500,0))</f>
        <v>0.15641352506265671</v>
      </c>
      <c r="K24" s="110">
        <f ca="1">INDEX(Données!$R$10:$R$500,MATCH(K$11,Données!$D$10:$D$500,0))</f>
        <v>0.24882979156223894</v>
      </c>
      <c r="L24" s="110">
        <f ca="1">INDEX(Données!$R$10:$R$500,MATCH(L$11,Données!$D$10:$D$500,0))</f>
        <v>0.24882979156223894</v>
      </c>
      <c r="M24" s="110">
        <f ca="1">INDEX(Données!$R$10:$R$500,MATCH(M$11,Données!$D$10:$D$500,0))</f>
        <v>0.24882979156223894</v>
      </c>
      <c r="N24" s="110">
        <f ca="1">INDEX(Données!$R$10:$R$500,MATCH(N$11,Données!$D$10:$D$500,0))</f>
        <v>0.24882979156223894</v>
      </c>
      <c r="O24" s="110">
        <f ca="1">INDEX(Données!$R$10:$R$500,MATCH(O$11,Données!$D$10:$D$500,0))</f>
        <v>0.24882979156223894</v>
      </c>
      <c r="P24" s="110">
        <f ca="1">INDEX(Données!$R$10:$R$500,MATCH(P$11,Données!$D$10:$D$500,0))</f>
        <v>0.24882979156223894</v>
      </c>
      <c r="Q24" s="110">
        <f ca="1">INDEX(Données!$R$10:$R$500,MATCH(Q$11,Données!$D$10:$D$500,0))</f>
        <v>0.24882979156223894</v>
      </c>
      <c r="R24" s="110">
        <f ca="1">INDEX(Données!$R$10:$R$500,MATCH(R$11,Données!$D$10:$D$500,0))</f>
        <v>0.24882979156223894</v>
      </c>
      <c r="S24" s="110">
        <f ca="1">INDEX(Données!$R$10:$R$500,MATCH(S$11,Données!$D$10:$D$500,0))</f>
        <v>0.24882979156223894</v>
      </c>
      <c r="T24" s="110">
        <f ca="1">INDEX(Données!$R$10:$R$500,MATCH(T$11,Données!$D$10:$D$500,0))</f>
        <v>0.24882979156223894</v>
      </c>
      <c r="U24" s="110">
        <f ca="1">INDEX(Données!$R$10:$R$500,MATCH(U$11,Données!$D$10:$D$500,0))</f>
        <v>0.24882979156223894</v>
      </c>
      <c r="V24" s="110">
        <f ca="1">INDEX(Données!$R$10:$R$500,MATCH(V$11,Données!$D$10:$D$500,0))</f>
        <v>0.24882979156223894</v>
      </c>
      <c r="W24" s="110">
        <f ca="1">INDEX(Données!$R$10:$R$500,MATCH(W$11,Données!$D$10:$D$500,0))</f>
        <v>0.24882979156223894</v>
      </c>
      <c r="X24" s="110">
        <f ca="1">INDEX(Données!$R$10:$R$500,MATCH(X$11,Données!$D$10:$D$500,0))</f>
        <v>0.24882979156223894</v>
      </c>
      <c r="Y24" s="110">
        <f ca="1">INDEX(Données!$R$10:$R$500,MATCH(Y$11,Données!$D$10:$D$500,0))</f>
        <v>0.24882979156223894</v>
      </c>
      <c r="Z24" s="110">
        <f ca="1">INDEX(Données!$R$10:$R$500,MATCH(Z$11,Données!$D$10:$D$500,0))</f>
        <v>0.24882979156223894</v>
      </c>
      <c r="AA24" s="107"/>
    </row>
    <row r="25" spans="1:27" s="121" customFormat="1" ht="12.75" customHeight="1" x14ac:dyDescent="0.2">
      <c r="A25" s="120"/>
      <c r="AA25" s="122"/>
    </row>
    <row r="26" spans="1:27" s="4" customFormat="1" ht="12.75" customHeight="1" x14ac:dyDescent="0.2">
      <c r="A26" s="139">
        <v>2</v>
      </c>
      <c r="B26" s="41" t="str">
        <f ca="1">OFFSET(Données!$A$8,,CHOOSE($A$26,COLUMN(Données!$M$9)-1,COLUMN(Données!$N$9)-1,COLUMN(Données!$P$9)-1,COLUMN(Données!$R$9)-1))</f>
        <v>Moment fléchissant</v>
      </c>
      <c r="AA26" s="56"/>
    </row>
    <row r="27" spans="1:27" ht="12.75" customHeight="1" x14ac:dyDescent="0.2">
      <c r="A27" s="126">
        <f ca="1">OFFSET($C$1,CHOOSE($A$26,,ROW(C23)-1,,ROW(C24)-1),0)</f>
        <v>451756</v>
      </c>
      <c r="J27" s="9"/>
      <c r="L27" s="3"/>
      <c r="M27" s="3"/>
      <c r="N27" s="4"/>
      <c r="Y27" s="58"/>
      <c r="AA27" s="3"/>
    </row>
    <row r="28" spans="1:27" ht="12.75" customHeight="1" x14ac:dyDescent="0.2">
      <c r="A28" s="132"/>
      <c r="M28" s="7"/>
      <c r="N28" s="68"/>
    </row>
    <row r="29" spans="1:27" ht="12.75" customHeight="1" x14ac:dyDescent="0.2">
      <c r="A29" s="132"/>
      <c r="J29" s="7"/>
      <c r="K29" s="6"/>
    </row>
    <row r="30" spans="1:27" ht="12.75" customHeight="1" x14ac:dyDescent="0.2">
      <c r="J30" s="7"/>
      <c r="K30" s="6"/>
    </row>
    <row r="31" spans="1:27" ht="12.75" customHeight="1" x14ac:dyDescent="0.2">
      <c r="K31" s="6"/>
      <c r="L31" s="8"/>
      <c r="M31" s="3"/>
    </row>
    <row r="32" spans="1:27" s="26" customFormat="1" ht="12.75" customHeight="1" x14ac:dyDescent="0.2">
      <c r="A32" s="127"/>
      <c r="D32" s="27"/>
      <c r="E32" s="27"/>
      <c r="F32" s="27"/>
      <c r="G32" s="27"/>
      <c r="H32" s="27"/>
      <c r="I32" s="27"/>
      <c r="J32" s="27"/>
      <c r="L32" s="12"/>
      <c r="M32" s="28"/>
      <c r="N32" s="70"/>
      <c r="AA32" s="58"/>
    </row>
    <row r="33" spans="1:27" s="26" customFormat="1" ht="12.75" customHeight="1" x14ac:dyDescent="0.2">
      <c r="A33" s="129"/>
      <c r="C33" s="27"/>
      <c r="D33" s="27"/>
      <c r="E33" s="27"/>
      <c r="F33" s="27"/>
      <c r="G33" s="27"/>
      <c r="H33" s="27"/>
      <c r="I33" s="27"/>
      <c r="J33" s="27"/>
      <c r="K33" s="27"/>
      <c r="L33" s="12"/>
      <c r="M33" s="12"/>
      <c r="N33" s="70"/>
      <c r="Q33" s="28"/>
      <c r="AA33" s="58"/>
    </row>
    <row r="34" spans="1:27" ht="12.75" customHeight="1" x14ac:dyDescent="0.2">
      <c r="I34" s="3"/>
      <c r="M34" s="3"/>
      <c r="N34" s="69"/>
      <c r="R34" s="2"/>
    </row>
    <row r="35" spans="1:27" ht="12.75" customHeight="1" x14ac:dyDescent="0.2"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71"/>
      <c r="O35" s="2"/>
    </row>
    <row r="36" spans="1:27" ht="12.75" customHeight="1" x14ac:dyDescent="0.2">
      <c r="E36" s="26"/>
      <c r="F36" s="9"/>
      <c r="G36" s="9"/>
      <c r="H36" s="9"/>
      <c r="I36" s="9"/>
      <c r="J36" s="26"/>
      <c r="K36" s="26"/>
      <c r="L36" s="9"/>
      <c r="M36" s="9"/>
      <c r="N36" s="69"/>
      <c r="O36" s="42"/>
    </row>
    <row r="37" spans="1:27" ht="12.75" customHeight="1" x14ac:dyDescent="0.2">
      <c r="C37" s="26"/>
      <c r="E37" s="26"/>
      <c r="F37" s="9"/>
      <c r="G37" s="9"/>
      <c r="H37" s="9"/>
      <c r="I37" s="9"/>
      <c r="J37" s="26"/>
      <c r="K37" s="26"/>
      <c r="L37" s="26"/>
      <c r="M37" s="43"/>
      <c r="N37" s="70"/>
      <c r="O37" s="42"/>
    </row>
    <row r="38" spans="1:27" ht="12.75" customHeight="1" x14ac:dyDescent="0.2">
      <c r="C38" s="26"/>
      <c r="E38" s="26"/>
      <c r="F38" s="9"/>
      <c r="G38" s="9"/>
      <c r="H38" s="9"/>
      <c r="I38" s="9"/>
      <c r="J38" s="26"/>
      <c r="K38" s="26"/>
      <c r="L38" s="26"/>
      <c r="M38" s="43"/>
      <c r="N38" s="70"/>
      <c r="O38" s="42"/>
    </row>
    <row r="39" spans="1:27" ht="12.75" customHeight="1" x14ac:dyDescent="0.2">
      <c r="C39" s="26"/>
      <c r="E39" s="26"/>
      <c r="F39" s="9"/>
      <c r="G39" s="9"/>
      <c r="H39" s="9"/>
      <c r="I39" s="9"/>
      <c r="J39" s="26"/>
      <c r="K39" s="26"/>
      <c r="L39" s="26"/>
      <c r="M39" s="26"/>
      <c r="N39" s="70"/>
      <c r="O39" s="42"/>
    </row>
    <row r="40" spans="1:27" ht="12.75" customHeight="1" x14ac:dyDescent="0.2">
      <c r="C40" s="26"/>
      <c r="E40" s="26"/>
      <c r="F40" s="9"/>
      <c r="G40" s="9"/>
      <c r="H40" s="9"/>
      <c r="I40" s="9"/>
      <c r="J40" s="26"/>
      <c r="K40" s="26"/>
      <c r="L40" s="26"/>
      <c r="M40" s="26"/>
      <c r="N40" s="70"/>
      <c r="O40" s="42"/>
    </row>
    <row r="41" spans="1:27" ht="12.75" customHeight="1" x14ac:dyDescent="0.2">
      <c r="C41" s="26"/>
      <c r="E41" s="26"/>
      <c r="F41" s="9"/>
      <c r="G41" s="9"/>
      <c r="H41" s="9"/>
      <c r="I41" s="9"/>
      <c r="J41" s="26"/>
      <c r="K41" s="26"/>
      <c r="L41" s="26"/>
      <c r="M41" s="26"/>
      <c r="N41" s="70"/>
      <c r="O41" s="42"/>
    </row>
    <row r="42" spans="1:27" ht="12.75" customHeight="1" x14ac:dyDescent="0.2">
      <c r="C42" s="26"/>
      <c r="E42" s="26"/>
      <c r="F42" s="9"/>
      <c r="G42" s="9"/>
      <c r="H42" s="9"/>
      <c r="I42" s="9"/>
      <c r="J42" s="26"/>
      <c r="K42" s="26"/>
      <c r="L42" s="26"/>
      <c r="M42" s="26"/>
      <c r="N42" s="72"/>
      <c r="O42" s="42"/>
    </row>
    <row r="43" spans="1:27" ht="12.75" customHeight="1" x14ac:dyDescent="0.2">
      <c r="C43" s="26"/>
      <c r="E43" s="26"/>
      <c r="F43" s="9"/>
      <c r="G43" s="9"/>
      <c r="H43" s="9"/>
      <c r="I43" s="9"/>
      <c r="J43" s="26"/>
      <c r="K43" s="26"/>
      <c r="L43" s="26"/>
      <c r="M43" s="26"/>
      <c r="N43" s="72"/>
      <c r="O43" s="42"/>
    </row>
    <row r="44" spans="1:27" x14ac:dyDescent="0.2">
      <c r="C44" s="26"/>
      <c r="E44" s="26"/>
      <c r="F44" s="9"/>
      <c r="G44" s="9"/>
      <c r="H44" s="9"/>
      <c r="I44" s="9"/>
      <c r="J44" s="26"/>
      <c r="K44" s="26"/>
      <c r="L44" s="26"/>
      <c r="M44" s="26"/>
      <c r="N44" s="72"/>
      <c r="O44" s="42"/>
    </row>
    <row r="45" spans="1:27" x14ac:dyDescent="0.2">
      <c r="C45" s="26"/>
      <c r="E45" s="26"/>
      <c r="F45" s="9"/>
      <c r="G45" s="9"/>
      <c r="H45" s="9"/>
      <c r="I45" s="9"/>
      <c r="J45" s="26"/>
      <c r="K45" s="26"/>
      <c r="L45" s="26"/>
      <c r="M45" s="26"/>
      <c r="N45" s="26"/>
      <c r="O45" s="42"/>
    </row>
    <row r="46" spans="1:27" x14ac:dyDescent="0.2">
      <c r="C46" s="26"/>
      <c r="E46" s="26"/>
      <c r="F46" s="9"/>
      <c r="G46" s="9"/>
      <c r="H46" s="9"/>
      <c r="I46" s="9"/>
      <c r="J46" s="26"/>
      <c r="K46" s="26"/>
      <c r="L46" s="26"/>
      <c r="M46" s="26"/>
      <c r="N46" s="26"/>
      <c r="O46" s="42"/>
    </row>
    <row r="47" spans="1:27" x14ac:dyDescent="0.2">
      <c r="B47" s="3" t="s">
        <v>170</v>
      </c>
      <c r="C47" s="5" t="s">
        <v>171</v>
      </c>
      <c r="D47" s="137">
        <v>1</v>
      </c>
      <c r="G47" s="80"/>
      <c r="H47" s="81"/>
      <c r="I47" s="3"/>
      <c r="J47" s="26"/>
      <c r="K47" s="26"/>
      <c r="L47" s="26"/>
      <c r="M47" s="26"/>
      <c r="N47" s="26"/>
      <c r="O47" s="42"/>
    </row>
    <row r="48" spans="1:27" x14ac:dyDescent="0.2">
      <c r="B48" s="23" t="s">
        <v>100</v>
      </c>
      <c r="C48" s="24" t="s">
        <v>101</v>
      </c>
      <c r="D48" s="25">
        <f>1000*L3*F8/D47</f>
        <v>8037000</v>
      </c>
      <c r="E48" s="25" t="s">
        <v>99</v>
      </c>
      <c r="F48" s="132"/>
      <c r="G48" s="132"/>
      <c r="I48" s="3"/>
      <c r="J48" s="26"/>
      <c r="K48" s="26"/>
      <c r="L48" s="26"/>
      <c r="M48" s="26"/>
      <c r="N48" s="26"/>
      <c r="O48" s="42"/>
    </row>
    <row r="49" spans="1:27" x14ac:dyDescent="0.2">
      <c r="B49" s="23" t="s">
        <v>129</v>
      </c>
      <c r="C49" s="24" t="s">
        <v>112</v>
      </c>
      <c r="D49" s="25">
        <f ca="1">MAX(-MIN($23:$23),MAX($23:$23))</f>
        <v>451756</v>
      </c>
      <c r="E49" s="25" t="s">
        <v>99</v>
      </c>
      <c r="F49" s="74" t="s">
        <v>172</v>
      </c>
      <c r="G49" s="74" t="str">
        <f ca="1">IF(D49&lt;D48,"Vérifié","Non vérifié")</f>
        <v>Vérifié</v>
      </c>
      <c r="I49" s="3"/>
      <c r="J49" s="26"/>
      <c r="K49" s="26"/>
      <c r="L49" s="26"/>
      <c r="M49" s="26"/>
      <c r="N49" s="26"/>
      <c r="O49" s="42"/>
    </row>
    <row r="50" spans="1:27" x14ac:dyDescent="0.2">
      <c r="B50" s="23" t="s">
        <v>131</v>
      </c>
      <c r="C50" s="24" t="s">
        <v>130</v>
      </c>
      <c r="D50" s="25">
        <f ca="1">D49/(L3*1000)</f>
        <v>13.209239766081872</v>
      </c>
      <c r="E50" s="25" t="s">
        <v>98</v>
      </c>
      <c r="F50" s="74"/>
      <c r="G50" s="74"/>
      <c r="I50" s="3"/>
      <c r="J50" s="26"/>
      <c r="K50" s="26"/>
      <c r="L50" s="26"/>
      <c r="M50" s="26"/>
      <c r="N50" s="26"/>
      <c r="O50" s="42"/>
    </row>
    <row r="51" spans="1:27" x14ac:dyDescent="0.2">
      <c r="B51" s="23" t="s">
        <v>110</v>
      </c>
      <c r="C51" s="24" t="s">
        <v>111</v>
      </c>
      <c r="D51" s="138">
        <f ca="1">MAX(-MIN(Tableau6[f]),MAX(Tableau6[f]))</f>
        <v>0.41825850315719859</v>
      </c>
      <c r="E51" s="25" t="s">
        <v>154</v>
      </c>
      <c r="J51" s="4"/>
      <c r="K51" s="26"/>
      <c r="L51" s="26"/>
      <c r="M51" s="26"/>
      <c r="N51" s="26"/>
      <c r="O51" s="42"/>
    </row>
    <row r="52" spans="1:27" x14ac:dyDescent="0.2">
      <c r="H52" s="4"/>
      <c r="I52" s="3"/>
      <c r="K52" s="26"/>
      <c r="L52" s="26"/>
      <c r="M52" s="26"/>
      <c r="N52" s="26"/>
      <c r="O52" s="42"/>
    </row>
    <row r="53" spans="1:27" s="140" customFormat="1" x14ac:dyDescent="0.2">
      <c r="A53" s="126" t="s">
        <v>173</v>
      </c>
      <c r="B53" s="142" t="s">
        <v>270</v>
      </c>
      <c r="I53" s="141"/>
      <c r="L53" s="58"/>
      <c r="M53" s="58"/>
      <c r="N53" s="58"/>
      <c r="O53" s="42"/>
      <c r="AA53" s="58"/>
    </row>
    <row r="54" spans="1:27" x14ac:dyDescent="0.2">
      <c r="K54" s="4"/>
      <c r="L54" s="26"/>
      <c r="M54" s="26"/>
      <c r="N54" s="26"/>
      <c r="O54" s="42"/>
    </row>
    <row r="55" spans="1:27" x14ac:dyDescent="0.2">
      <c r="L55" s="26"/>
      <c r="M55" s="26"/>
      <c r="N55" s="26"/>
      <c r="O55" s="42"/>
      <c r="S55" s="26"/>
      <c r="T55" s="26"/>
    </row>
    <row r="56" spans="1:27" x14ac:dyDescent="0.2">
      <c r="L56" s="26"/>
      <c r="M56" s="26"/>
      <c r="N56" s="26"/>
      <c r="O56" s="42"/>
      <c r="S56" s="26"/>
      <c r="T56" s="26"/>
    </row>
    <row r="57" spans="1:27" x14ac:dyDescent="0.2">
      <c r="L57" s="3"/>
      <c r="M57" s="3"/>
    </row>
    <row r="58" spans="1:27" x14ac:dyDescent="0.2">
      <c r="M58" s="3"/>
    </row>
    <row r="59" spans="1:27" x14ac:dyDescent="0.2">
      <c r="M59" s="3"/>
    </row>
  </sheetData>
  <sheetProtection sheet="1" objects="1" scenarios="1"/>
  <conditionalFormatting sqref="F49:G50">
    <cfRule type="expression" dxfId="26" priority="11">
      <formula>$D$49&lt;$D$48</formula>
    </cfRule>
  </conditionalFormatting>
  <conditionalFormatting sqref="D10:Z24">
    <cfRule type="expression" dxfId="25" priority="1">
      <formula>AND((D$11=""),(D$12=""),(D$13=""),(C$16=""))</formula>
    </cfRule>
  </conditionalFormatting>
  <conditionalFormatting sqref="C16:Z16">
    <cfRule type="expression" dxfId="24" priority="2">
      <formula>AND((D$11=""),(D$12=""),(D$13=""),(C$16=""))</formula>
    </cfRule>
  </conditionalFormatting>
  <conditionalFormatting sqref="C32:XFD33 A1:XFD6 A7:H7 J7:XFD7 B51:E51 J26:XFD31 A61:XFD1048576 L47:XFD60 B52:J54 K47:K56 B50:I50 B49:G49 I49 B48:I48 A30:A32 B25 F25:XFD25 A26 A47:A56 J47:J51 B47:H47 A13:XFD24 B12:XFD12 A8:XFD11 A34:XFD46">
    <cfRule type="expression" dxfId="23" priority="10">
      <formula>VEROU_O</formula>
    </cfRule>
  </conditionalFormatting>
  <conditionalFormatting sqref="D12:Z12">
    <cfRule type="expression" dxfId="22" priority="6">
      <formula>IF(COUNTIF($D$12:$Z$12,"&lt;&gt;")&lt;&gt;2,1,0)</formula>
    </cfRule>
  </conditionalFormatting>
  <dataValidations disablePrompts="1" count="1">
    <dataValidation type="list" errorStyle="warning" allowBlank="1" showInputMessage="1" showErrorMessage="1" prompt="Type d'appui" sqref="D12:Z12">
      <formula1>"ROTULE"</formula1>
    </dataValidation>
  </dataValidations>
  <hyperlinks>
    <hyperlink ref="B53" r:id="rId1"/>
  </hyperlinks>
  <printOptions gridLines="1"/>
  <pageMargins left="0.78740157480314965" right="0.78740157480314965" top="0.98425196850393704" bottom="0.98425196850393704" header="0.51181102362204722" footer="0.51181102362204722"/>
  <pageSetup paperSize="9" orientation="portrait" horizontalDpi="4294967292" verticalDpi="200" r:id="rId2"/>
  <headerFooter alignWithMargins="0"/>
  <ignoredErrors>
    <ignoredError sqref="D10:Z10" numberStoredAsText="1"/>
  </ignoredError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3" r:id="rId5" name="Spinner 29">
              <controlPr locked="0" defaultSize="0" autoPict="0">
                <anchor moveWithCells="1" sizeWithCells="1">
                  <from>
                    <xdr:col>1</xdr:col>
                    <xdr:colOff>85725</xdr:colOff>
                    <xdr:row>26</xdr:row>
                    <xdr:rowOff>47625</xdr:rowOff>
                  </from>
                  <to>
                    <xdr:col>1</xdr:col>
                    <xdr:colOff>352425</xdr:colOff>
                    <xdr:row>32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6" name="Spinner 31">
              <controlPr locked="0" defaultSize="0" autoPict="0">
                <anchor moveWithCells="1" sizeWithCells="1">
                  <from>
                    <xdr:col>2</xdr:col>
                    <xdr:colOff>9525</xdr:colOff>
                    <xdr:row>9</xdr:row>
                    <xdr:rowOff>47625</xdr:rowOff>
                  </from>
                  <to>
                    <xdr:col>2</xdr:col>
                    <xdr:colOff>161925</xdr:colOff>
                    <xdr:row>11</xdr:row>
                    <xdr:rowOff>142875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disablePrompts="1" count="3">
        <x14:dataValidation type="list" allowBlank="1" showInputMessage="1" showErrorMessage="1">
          <x14:formula1>
            <xm:f>PROFILS!$A$2:$A$500</xm:f>
          </x14:formula1>
          <xm:sqref>B3:B5</xm:sqref>
        </x14:dataValidation>
        <x14:dataValidation type="list" allowBlank="1" showInputMessage="1" showErrorMessage="1">
          <x14:formula1>
            <xm:f>MATERIAU!$A2:$A486</xm:f>
          </x14:formula1>
          <xm:sqref>B9</xm:sqref>
        </x14:dataValidation>
        <x14:dataValidation type="list" allowBlank="1" showInputMessage="1" showErrorMessage="1">
          <x14:formula1>
            <xm:f>MATERIAU!$A2:$A485</xm:f>
          </x14:formula1>
          <xm:sqref>B8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tabColor theme="3" tint="0.59999389629810485"/>
  </sheetPr>
  <dimension ref="A1:X210"/>
  <sheetViews>
    <sheetView zoomScale="80" zoomScaleNormal="80" workbookViewId="0">
      <pane ySplit="9" topLeftCell="A10" activePane="bottomLeft" state="frozenSplit"/>
      <selection pane="bottomLeft" activeCell="I28" sqref="I28"/>
    </sheetView>
  </sheetViews>
  <sheetFormatPr baseColWidth="10" defaultRowHeight="12.75" x14ac:dyDescent="0.2"/>
  <cols>
    <col min="1" max="3" width="11.42578125" style="82"/>
    <col min="4" max="4" width="12.5703125" style="85" customWidth="1"/>
    <col min="5" max="6" width="11.28515625" style="85" customWidth="1"/>
    <col min="7" max="7" width="11.42578125" style="93" customWidth="1"/>
    <col min="8" max="8" width="12.85546875" style="82" customWidth="1"/>
    <col min="9" max="9" width="13.42578125" style="94" customWidth="1"/>
    <col min="10" max="10" width="11.42578125" style="93" customWidth="1"/>
    <col min="11" max="11" width="14" style="82" customWidth="1"/>
    <col min="12" max="12" width="14.42578125" style="94" customWidth="1"/>
    <col min="13" max="13" width="14.42578125" style="93" customWidth="1"/>
    <col min="14" max="14" width="11.42578125" style="94"/>
    <col min="15" max="15" width="11.42578125" style="82"/>
    <col min="16" max="16" width="13" style="82" bestFit="1" customWidth="1"/>
    <col min="17" max="17" width="13.7109375" style="82" bestFit="1" customWidth="1"/>
    <col min="18" max="18" width="13" style="82" bestFit="1" customWidth="1"/>
    <col min="19" max="19" width="12.140625" style="85" customWidth="1"/>
    <col min="20" max="21" width="11.42578125" style="1"/>
    <col min="22" max="16384" width="11.42578125" style="82"/>
  </cols>
  <sheetData>
    <row r="1" spans="1:24" ht="15" x14ac:dyDescent="0.25">
      <c r="A1" s="133" t="s">
        <v>169</v>
      </c>
      <c r="C1" s="97"/>
      <c r="D1" s="98"/>
      <c r="E1" s="98" t="s">
        <v>117</v>
      </c>
      <c r="F1" s="98" t="s">
        <v>120</v>
      </c>
      <c r="G1" s="98" t="s">
        <v>5</v>
      </c>
      <c r="H1" s="99" t="s">
        <v>159</v>
      </c>
      <c r="I1" s="100" t="s">
        <v>160</v>
      </c>
      <c r="J1" s="82"/>
      <c r="K1" s="135" t="s">
        <v>162</v>
      </c>
      <c r="L1" s="136">
        <f>COUNTIF(Tableau6[Appui],"&lt;&gt;-")</f>
        <v>2</v>
      </c>
      <c r="M1" s="82"/>
      <c r="N1" s="82"/>
      <c r="S1" s="82"/>
      <c r="T1" s="90"/>
      <c r="U1" s="82"/>
    </row>
    <row r="2" spans="1:24" ht="14.25" x14ac:dyDescent="0.2">
      <c r="A2" s="134">
        <f>MAX(Flexion!D$11:Z$11)/MAX(Tableau6[N° pas])</f>
        <v>15</v>
      </c>
      <c r="C2" s="93" t="str">
        <f>IF(D1&gt;MAX(Tableau6[N° pas]),"",ADDRESS(ROW($F$10)+$D1,COLUMN($F$10),4) &amp; ":" &amp; ADDRESS(ROW($A$9)+MAX(Tableau6[N° pas])+1,COLUMN($F$10),4))</f>
        <v>F10:F210</v>
      </c>
      <c r="D2" s="82">
        <f ca="1">IF(C2="","",MATCH("ROTULE",INDIRECT(C2),0)+D1)</f>
        <v>35</v>
      </c>
      <c r="E2" s="82">
        <f ca="1">IF(D2="","",D2-1)</f>
        <v>34</v>
      </c>
      <c r="F2" s="83">
        <f ca="1">IF(D2="","",INDEX(Tableau6[x1],D2))</f>
        <v>500</v>
      </c>
      <c r="G2" s="83" t="str">
        <f ca="1">IF(D2="","",INDEX(Tableau6[Appui],D2))</f>
        <v>ROTULE</v>
      </c>
      <c r="H2" s="82">
        <f ca="1">INDEX(Tableau6[ʃMf],MATCH(F2,Tableau6[x1]))</f>
        <v>-62500000</v>
      </c>
      <c r="I2" s="94">
        <f ca="1">INDEX(Tableau6[ʃʃMf],MATCH(F2,Tableau6[x1]))</f>
        <v>-10421312500</v>
      </c>
      <c r="J2" s="96"/>
      <c r="K2" s="93" t="s">
        <v>161</v>
      </c>
      <c r="L2" s="94">
        <f>1/(Flexion!$C$8*Flexion!$I$3*10000)</f>
        <v>2.7847396268448901E-12</v>
      </c>
      <c r="M2" s="82"/>
      <c r="N2" s="82"/>
      <c r="R2" s="87"/>
      <c r="S2" s="87"/>
      <c r="T2" s="95"/>
      <c r="U2" s="82"/>
    </row>
    <row r="3" spans="1:24" x14ac:dyDescent="0.2">
      <c r="C3" s="93" t="str">
        <f ca="1">IF(D2&gt;MAX(Tableau6[N° pas]),"",ADDRESS(ROW($F$10)+$D2,COLUMN($F$10),4) &amp; ":" &amp; ADDRESS(ROW($A$9)+MAX(Tableau6[N° pas])+1,COLUMN($F$10),4))</f>
        <v>F45:F210</v>
      </c>
      <c r="D3" s="82">
        <f ca="1">IF(C3="","",MATCH("ROTULE",INDIRECT(C3),0)+D2)</f>
        <v>168</v>
      </c>
      <c r="E3" s="82">
        <f ca="1">IF(D3="","",D3-1)</f>
        <v>167</v>
      </c>
      <c r="F3" s="83">
        <f ca="1">IF(D3="","",INDEX(Tableau6[x1],D3))</f>
        <v>2500</v>
      </c>
      <c r="G3" s="83" t="str">
        <f ca="1">IF(D3="","",INDEX(Tableau6[Appui],D3))</f>
        <v>ROTULE</v>
      </c>
      <c r="H3" s="82">
        <f ca="1">INDEX(Tableau6[ʃMf],MATCH(F3,Tableau6[x1]))</f>
        <v>301453125</v>
      </c>
      <c r="I3" s="94">
        <f ca="1">INDEX(Tableau6[ʃʃMf],MATCH(F3,Tableau6[x1]))</f>
        <v>305312550100</v>
      </c>
      <c r="J3" s="82"/>
      <c r="K3" s="93" t="s">
        <v>96</v>
      </c>
      <c r="L3" s="94">
        <f ca="1">-L2*(I2-I3)/(F2-F3)</f>
        <v>-4.3961829935950991E-4</v>
      </c>
      <c r="M3" s="82"/>
      <c r="N3" s="82"/>
      <c r="R3" s="87"/>
      <c r="S3" s="87"/>
      <c r="T3" s="95"/>
      <c r="U3" s="82"/>
    </row>
    <row r="4" spans="1:24" x14ac:dyDescent="0.2">
      <c r="C4" s="93" t="str">
        <f ca="1">IF(D3&gt;MAX(Tableau6[N° pas]),"",ADDRESS(ROW($F$10)+$D3,COLUMN($F$10),4) &amp; ":" &amp; ADDRESS(ROW($A$9)+MAX(Tableau6[N° pas])+1,COLUMN($F$10),4))</f>
        <v>F178:F210</v>
      </c>
      <c r="D4" s="82" t="e">
        <f ca="1">IF(C4="","",MATCH("ROTULE",INDIRECT(C4),0)+D3)</f>
        <v>#N/A</v>
      </c>
      <c r="E4" s="82" t="e">
        <f ca="1">IF(D4="","",D4-1)</f>
        <v>#N/A</v>
      </c>
      <c r="F4" s="83" t="e">
        <f ca="1">IF(D4="","",INDEX(Tableau6[x1],D4))</f>
        <v>#N/A</v>
      </c>
      <c r="G4" s="83" t="e">
        <f ca="1">IF(D4="","",INDEX(Tableau6[Appui],D4))</f>
        <v>#N/A</v>
      </c>
      <c r="H4" s="82" t="e">
        <f ca="1">INDEX(Tableau6[ʃMf],MATCH(F4,Tableau6[x1]))</f>
        <v>#N/A</v>
      </c>
      <c r="I4" s="94" t="e">
        <f ca="1">INDEX(Tableau6[ʃʃMf],MATCH(F4,Tableau6[x1]))</f>
        <v>#N/A</v>
      </c>
      <c r="J4" s="82"/>
      <c r="K4" s="115" t="s">
        <v>163</v>
      </c>
      <c r="L4" s="118">
        <f ca="1">-L2*I2-L3*F2</f>
        <v>0.24882979156223894</v>
      </c>
      <c r="M4" s="82"/>
      <c r="N4" s="82"/>
      <c r="R4" s="87"/>
      <c r="S4" s="87"/>
      <c r="T4" s="95"/>
      <c r="U4" s="82"/>
    </row>
    <row r="5" spans="1:24" x14ac:dyDescent="0.2">
      <c r="C5" s="115" t="e">
        <f ca="1">IF(D4&gt;MAX(Tableau6[N° pas]),"",ADDRESS(ROW($F$10)+$D4,COLUMN($F$10),4) &amp; ":" &amp; ADDRESS(ROW($A$9)+MAX(Tableau6[N° pas])+1,COLUMN($F$10),4))</f>
        <v>#N/A</v>
      </c>
      <c r="D5" s="116" t="e">
        <f ca="1">IF(C5="","",MATCH("ROTULE",INDIRECT(C5),0)+D4)</f>
        <v>#N/A</v>
      </c>
      <c r="E5" s="116" t="e">
        <f ca="1">IF(D5="","",D5-1)</f>
        <v>#N/A</v>
      </c>
      <c r="F5" s="117" t="e">
        <f ca="1">IF(D5="","",INDEX(Tableau6[x1],D5))</f>
        <v>#N/A</v>
      </c>
      <c r="G5" s="117" t="e">
        <f ca="1">IF(D5="","",INDEX(Tableau6[Appui],D5))</f>
        <v>#N/A</v>
      </c>
      <c r="H5" s="116" t="e">
        <f ca="1">INDEX(Tableau6[ʃMf],MATCH(F5,Tableau6[x1]))</f>
        <v>#N/A</v>
      </c>
      <c r="I5" s="118" t="e">
        <f ca="1">INDEX(Tableau6[ʃʃMf],MATCH(F5,Tableau6[x1]))</f>
        <v>#N/A</v>
      </c>
      <c r="J5" s="82"/>
      <c r="L5" s="82"/>
      <c r="M5" s="82"/>
      <c r="N5" s="82"/>
      <c r="R5" s="87"/>
      <c r="S5" s="87"/>
      <c r="T5" s="95"/>
      <c r="U5" s="82"/>
    </row>
    <row r="6" spans="1:24" x14ac:dyDescent="0.2">
      <c r="G6" s="82"/>
      <c r="I6" s="82"/>
      <c r="J6" s="82"/>
      <c r="K6" s="83"/>
      <c r="L6" s="83"/>
      <c r="M6" s="82"/>
      <c r="N6" s="82"/>
      <c r="S6" s="82"/>
      <c r="T6" s="87"/>
      <c r="U6" s="87"/>
      <c r="V6" s="95"/>
    </row>
    <row r="7" spans="1:24" x14ac:dyDescent="0.2">
      <c r="D7" s="83"/>
      <c r="E7" s="83"/>
      <c r="F7" s="82"/>
      <c r="G7" s="82"/>
      <c r="I7" s="82"/>
      <c r="J7" s="83"/>
      <c r="L7" s="82"/>
      <c r="M7" s="82"/>
      <c r="N7" s="82"/>
      <c r="S7" s="82"/>
      <c r="T7" s="87"/>
      <c r="U7" s="87"/>
      <c r="V7" s="95"/>
    </row>
    <row r="8" spans="1:24" s="111" customFormat="1" ht="25.5" x14ac:dyDescent="0.2">
      <c r="D8" s="112"/>
      <c r="E8" s="112"/>
      <c r="J8" s="112"/>
      <c r="K8" s="112"/>
      <c r="L8" s="112"/>
      <c r="M8" s="119" t="s">
        <v>168</v>
      </c>
      <c r="N8" s="119" t="s">
        <v>167</v>
      </c>
      <c r="P8" s="119" t="s">
        <v>166</v>
      </c>
      <c r="R8" s="119" t="s">
        <v>165</v>
      </c>
      <c r="V8" s="113"/>
      <c r="W8" s="113"/>
      <c r="X8" s="114"/>
    </row>
    <row r="9" spans="1:24" s="90" customFormat="1" ht="15" x14ac:dyDescent="0.25">
      <c r="A9" s="86" t="s">
        <v>117</v>
      </c>
      <c r="B9" s="86" t="s">
        <v>121</v>
      </c>
      <c r="C9" s="86" t="s">
        <v>119</v>
      </c>
      <c r="D9" s="86" t="s">
        <v>120</v>
      </c>
      <c r="E9" s="86" t="s">
        <v>95</v>
      </c>
      <c r="F9" s="86" t="s">
        <v>5</v>
      </c>
      <c r="G9" s="88" t="s">
        <v>122</v>
      </c>
      <c r="H9" s="86" t="s">
        <v>123</v>
      </c>
      <c r="I9" s="89" t="s">
        <v>124</v>
      </c>
      <c r="J9" s="88" t="s">
        <v>125</v>
      </c>
      <c r="K9" s="86" t="s">
        <v>126</v>
      </c>
      <c r="L9" s="89" t="s">
        <v>127</v>
      </c>
      <c r="M9" s="88" t="s">
        <v>156</v>
      </c>
      <c r="N9" s="89" t="s">
        <v>157</v>
      </c>
      <c r="O9" s="90" t="s">
        <v>159</v>
      </c>
      <c r="P9" s="90" t="s">
        <v>155</v>
      </c>
      <c r="Q9" s="90" t="s">
        <v>160</v>
      </c>
      <c r="R9" s="90" t="s">
        <v>132</v>
      </c>
      <c r="S9" s="91" t="s">
        <v>158</v>
      </c>
    </row>
    <row r="10" spans="1:24" x14ac:dyDescent="0.2">
      <c r="A10" s="83" t="s">
        <v>2</v>
      </c>
      <c r="B10" s="83">
        <f>MATCH(Tableau6[[#This Row],[x0]],Flexion!D$11:Z$11,1)</f>
        <v>1</v>
      </c>
      <c r="C10" s="83">
        <f>Tableau6[[#This Row],[N° pas]]*$A$2</f>
        <v>0</v>
      </c>
      <c r="D10" s="101">
        <f>IF($B10=$B9,Tableau6[[#This Row],[x0]],INDEX(Flexion!D$11:Z$11,$B10))</f>
        <v>0</v>
      </c>
      <c r="E10" s="83">
        <f>IF(B10=B9,"-",VALUE(INDEX(Flexion!D$10:Z$10,Tableau6[[#This Row],[Col.]])))</f>
        <v>1</v>
      </c>
      <c r="F10" s="83" t="str">
        <f>IF(E10="-","-",IF(INDEX(Flexion!D$12:Z$12,Tableau6[[#This Row],[Col.]])="","-",INDEX(Flexion!D$12:Z$12,Tableau6[[#This Row],[Col.]])))</f>
        <v>-</v>
      </c>
      <c r="G10" s="84">
        <f>IF(Tableau6[[#This Row],[Nœud]]&lt;&gt;"-",INDEX(Flexion!D$13:Z$13,Tableau6[[#This Row],[Col.]]),)</f>
        <v>-500</v>
      </c>
      <c r="H10" s="83">
        <f>IF(Tableau6[[#This Row],[Appui]]&lt;&gt;"-",INDEX(Flexion!D$14:Z$14,Tableau6[[#This Row],[Col.]]),)</f>
        <v>0</v>
      </c>
      <c r="I10" s="92">
        <v>0</v>
      </c>
      <c r="J10" s="84">
        <f>INDEX(Flexion!D$16:Z$16,Tableau6[[#This Row],[Col.]])*($D11-$D10)</f>
        <v>0</v>
      </c>
      <c r="K10" s="83">
        <f>IF(B10=B9,0,INDEX(Flexion!D$20:Z$20,Tableau6[[#This Row],[Col.]]))</f>
        <v>0</v>
      </c>
      <c r="L10" s="92">
        <v>0</v>
      </c>
      <c r="M10" s="84">
        <f>Tableau6[[#This Row],[Fr nod.]]+Tableau6[[#This Row],[Fr lin.]]</f>
        <v>0</v>
      </c>
      <c r="N10" s="92">
        <f>Tableau6[[#This Row],[Mt nod.]]+Tableau6[[#This Row],[Mt lin.]]</f>
        <v>0</v>
      </c>
      <c r="O10" s="82" t="s">
        <v>2</v>
      </c>
      <c r="P10" s="82">
        <f t="shared" ref="P10:P73" ca="1" si="0">$L$2*O10+$L$3</f>
        <v>-4.3961829935950991E-4</v>
      </c>
      <c r="Q10" s="82">
        <v>0</v>
      </c>
      <c r="R10" s="82">
        <f t="shared" ref="R10:R73" ca="1" si="1">$L$2*Q10+$L$3*D10+$L$4</f>
        <v>0.24882979156223894</v>
      </c>
      <c r="S10" s="102">
        <f ca="1">OFFSET($A10,,CHOOSE(Flexion!$A$26,COLUMN($M$9)-1,COLUMN($N$9)-1,COLUMN($P$9)-1,COLUMN($R$9)-1))</f>
        <v>0</v>
      </c>
    </row>
    <row r="11" spans="1:24" x14ac:dyDescent="0.2">
      <c r="A11" s="83">
        <f t="shared" ref="A11:A73" si="2">A10+1</f>
        <v>1</v>
      </c>
      <c r="B11" s="83">
        <f>MATCH(Tableau6[[#This Row],[x0]],Flexion!D$11:Z$11,1)</f>
        <v>1</v>
      </c>
      <c r="C11" s="83">
        <f>Tableau6[[#This Row],[N° pas]]*$A$2</f>
        <v>15</v>
      </c>
      <c r="D11" s="101">
        <f>IF($B11=$B10,Tableau6[[#This Row],[x0]],INDEX(Flexion!D$11:Z$11,$B11))</f>
        <v>15</v>
      </c>
      <c r="E11" s="83" t="str">
        <f>IF(B11=B10,"-",VALUE(INDEX(Flexion!D$10:Z$10,Tableau6[[#This Row],[Col.]])))</f>
        <v>-</v>
      </c>
      <c r="F11" s="83" t="str">
        <f>IF(E11="-","-",IF(INDEX(Flexion!D$12:Z$12,Tableau6[[#This Row],[Col.]])="","-",INDEX(Flexion!D$12:Z$12,Tableau6[[#This Row],[Col.]])))</f>
        <v>-</v>
      </c>
      <c r="G11" s="84">
        <f>IF(Tableau6[[#This Row],[Nœud]]&lt;&gt;"-",INDEX(Flexion!D$13:Z$13,Tableau6[[#This Row],[Col.]]),)</f>
        <v>0</v>
      </c>
      <c r="H11" s="83">
        <f>IF(Tableau6[[#This Row],[Appui]]&lt;&gt;"-",INDEX(Flexion!D$14:Z$14,Tableau6[[#This Row],[Col.]]),)</f>
        <v>0</v>
      </c>
      <c r="I11" s="92">
        <f>$I10+($D11-$D10)*(SUM($G$10:$G10,$H$10:$H10))</f>
        <v>-7500</v>
      </c>
      <c r="J11" s="84">
        <f>INDEX(Flexion!D$16:Z$16,Tableau6[[#This Row],[Col.]])*($D12-$D11)</f>
        <v>0</v>
      </c>
      <c r="K11" s="83">
        <f>IF(B11=B10,0,INDEX(Flexion!D$20:Z$20,Tableau6[[#This Row],[Col.]]))</f>
        <v>0</v>
      </c>
      <c r="L11" s="92">
        <f>$L10+($D11-$D10)*(SUM($J$10:$J10,$K$10:$K10)-$J10/2)</f>
        <v>0</v>
      </c>
      <c r="M11" s="84">
        <f>Tableau6[[#This Row],[Fr nod.]]+Tableau6[[#This Row],[Fr lin.]]</f>
        <v>0</v>
      </c>
      <c r="N11" s="92">
        <f>Tableau6[[#This Row],[Mt nod.]]+Tableau6[[#This Row],[Mt lin.]]</f>
        <v>-7500</v>
      </c>
      <c r="O11" s="82">
        <f t="shared" ref="O11:O42" si="3">(D11-D10)*(N11+N10)/2+O10</f>
        <v>-56250</v>
      </c>
      <c r="P11" s="82">
        <f t="shared" ca="1" si="0"/>
        <v>-4.3977494096351992E-4</v>
      </c>
      <c r="Q11" s="82">
        <f t="shared" ref="Q11:Q42" si="4">Q10+((D11-D10)*(O11+O10)/2)</f>
        <v>-421875</v>
      </c>
      <c r="R11" s="82">
        <f t="shared" ca="1" si="1"/>
        <v>0.24223434225981622</v>
      </c>
      <c r="S11" s="102">
        <f ca="1">OFFSET($A11,,CHOOSE(Flexion!$A$26,COLUMN($M$9)-1,COLUMN($N$9)-1,COLUMN($P$9)-1,COLUMN($R$9)-1))</f>
        <v>-7500</v>
      </c>
    </row>
    <row r="12" spans="1:24" x14ac:dyDescent="0.2">
      <c r="A12" s="83">
        <f t="shared" si="2"/>
        <v>2</v>
      </c>
      <c r="B12" s="83">
        <f>MATCH(Tableau6[[#This Row],[x0]],Flexion!D$11:Z$11,1)</f>
        <v>1</v>
      </c>
      <c r="C12" s="83">
        <f>Tableau6[[#This Row],[N° pas]]*$A$2</f>
        <v>30</v>
      </c>
      <c r="D12" s="101">
        <f>IF($B12=$B11,Tableau6[[#This Row],[x0]],INDEX(Flexion!D$11:Z$11,$B12))</f>
        <v>30</v>
      </c>
      <c r="E12" s="83" t="str">
        <f>IF(B12=B11,"-",VALUE(INDEX(Flexion!D$10:Z$10,Tableau6[[#This Row],[Col.]])))</f>
        <v>-</v>
      </c>
      <c r="F12" s="83" t="str">
        <f>IF(E12="-","-",IF(INDEX(Flexion!D$12:Z$12,Tableau6[[#This Row],[Col.]])="","-",INDEX(Flexion!D$12:Z$12,Tableau6[[#This Row],[Col.]])))</f>
        <v>-</v>
      </c>
      <c r="G12" s="84">
        <f>IF(Tableau6[[#This Row],[Nœud]]&lt;&gt;"-",INDEX(Flexion!D$13:Z$13,Tableau6[[#This Row],[Col.]]),)</f>
        <v>0</v>
      </c>
      <c r="H12" s="83">
        <f>IF(Tableau6[[#This Row],[Appui]]&lt;&gt;"-",INDEX(Flexion!D$14:Z$14,Tableau6[[#This Row],[Col.]]),)</f>
        <v>0</v>
      </c>
      <c r="I12" s="92">
        <f>$I11+($D12-$D11)*(SUM($G$10:$G11,$H$10:$H11))</f>
        <v>-15000</v>
      </c>
      <c r="J12" s="84">
        <f>INDEX(Flexion!D$16:Z$16,Tableau6[[#This Row],[Col.]])*($D13-$D12)</f>
        <v>0</v>
      </c>
      <c r="K12" s="83">
        <f>IF(B12=B11,0,INDEX(Flexion!D$20:Z$20,Tableau6[[#This Row],[Col.]]))</f>
        <v>0</v>
      </c>
      <c r="L12" s="92">
        <f>$L11+($D12-$D11)*(SUM($J$10:$J11,$K$10:$K11)-$J11/2)</f>
        <v>0</v>
      </c>
      <c r="M12" s="84">
        <f>Tableau6[[#This Row],[Fr nod.]]+Tableau6[[#This Row],[Fr lin.]]</f>
        <v>0</v>
      </c>
      <c r="N12" s="92">
        <f>Tableau6[[#This Row],[Mt nod.]]+Tableau6[[#This Row],[Mt lin.]]</f>
        <v>-15000</v>
      </c>
      <c r="O12" s="82">
        <f t="shared" si="3"/>
        <v>-225000</v>
      </c>
      <c r="P12" s="82">
        <f t="shared" ca="1" si="0"/>
        <v>-4.4024486577555E-4</v>
      </c>
      <c r="Q12" s="82">
        <f t="shared" si="4"/>
        <v>-2531250</v>
      </c>
      <c r="R12" s="82">
        <f t="shared" ca="1" si="1"/>
        <v>0.23563419370927319</v>
      </c>
      <c r="S12" s="102">
        <f ca="1">OFFSET($A12,,CHOOSE(Flexion!$A$26,COLUMN($M$9)-1,COLUMN($N$9)-1,COLUMN($P$9)-1,COLUMN($R$9)-1))</f>
        <v>-15000</v>
      </c>
    </row>
    <row r="13" spans="1:24" x14ac:dyDescent="0.2">
      <c r="A13" s="83">
        <f t="shared" si="2"/>
        <v>3</v>
      </c>
      <c r="B13" s="83">
        <f>MATCH(Tableau6[[#This Row],[x0]],Flexion!D$11:Z$11,1)</f>
        <v>1</v>
      </c>
      <c r="C13" s="83">
        <f>Tableau6[[#This Row],[N° pas]]*$A$2</f>
        <v>45</v>
      </c>
      <c r="D13" s="101">
        <f>IF($B13=$B12,Tableau6[[#This Row],[x0]],INDEX(Flexion!D$11:Z$11,$B13))</f>
        <v>45</v>
      </c>
      <c r="E13" s="83" t="str">
        <f>IF(B13=B12,"-",VALUE(INDEX(Flexion!D$10:Z$10,Tableau6[[#This Row],[Col.]])))</f>
        <v>-</v>
      </c>
      <c r="F13" s="83" t="str">
        <f>IF(E13="-","-",IF(INDEX(Flexion!D$12:Z$12,Tableau6[[#This Row],[Col.]])="","-",INDEX(Flexion!D$12:Z$12,Tableau6[[#This Row],[Col.]])))</f>
        <v>-</v>
      </c>
      <c r="G13" s="84">
        <f>IF(Tableau6[[#This Row],[Nœud]]&lt;&gt;"-",INDEX(Flexion!D$13:Z$13,Tableau6[[#This Row],[Col.]]),)</f>
        <v>0</v>
      </c>
      <c r="H13" s="83">
        <f>IF(Tableau6[[#This Row],[Appui]]&lt;&gt;"-",INDEX(Flexion!D$14:Z$14,Tableau6[[#This Row],[Col.]]),)</f>
        <v>0</v>
      </c>
      <c r="I13" s="92">
        <f>$I12+($D13-$D12)*(SUM($G$10:$G12,$H$10:$H12))</f>
        <v>-22500</v>
      </c>
      <c r="J13" s="84">
        <f>INDEX(Flexion!D$16:Z$16,Tableau6[[#This Row],[Col.]])*($D14-$D13)</f>
        <v>0</v>
      </c>
      <c r="K13" s="83">
        <f>IF(B13=B12,0,INDEX(Flexion!D$20:Z$20,Tableau6[[#This Row],[Col.]]))</f>
        <v>0</v>
      </c>
      <c r="L13" s="92">
        <f>$L12+($D13-$D12)*(SUM($J$10:$J12,$K$10:$K12)-$J12/2)</f>
        <v>0</v>
      </c>
      <c r="M13" s="84">
        <f>Tableau6[[#This Row],[Fr nod.]]+Tableau6[[#This Row],[Fr lin.]]</f>
        <v>0</v>
      </c>
      <c r="N13" s="92">
        <f>Tableau6[[#This Row],[Mt nod.]]+Tableau6[[#This Row],[Mt lin.]]</f>
        <v>-22500</v>
      </c>
      <c r="O13" s="82">
        <f t="shared" si="3"/>
        <v>-506250</v>
      </c>
      <c r="P13" s="82">
        <f t="shared" ca="1" si="0"/>
        <v>-4.4102807379560016E-4</v>
      </c>
      <c r="Q13" s="82">
        <f t="shared" si="4"/>
        <v>-8015625</v>
      </c>
      <c r="R13" s="82">
        <f t="shared" ca="1" si="1"/>
        <v>0.22902464666248956</v>
      </c>
      <c r="S13" s="102">
        <f ca="1">OFFSET($A13,,CHOOSE(Flexion!$A$26,COLUMN($M$9)-1,COLUMN($N$9)-1,COLUMN($P$9)-1,COLUMN($R$9)-1))</f>
        <v>-22500</v>
      </c>
    </row>
    <row r="14" spans="1:24" x14ac:dyDescent="0.2">
      <c r="A14" s="83">
        <f t="shared" si="2"/>
        <v>4</v>
      </c>
      <c r="B14" s="83">
        <f>MATCH(Tableau6[[#This Row],[x0]],Flexion!D$11:Z$11,1)</f>
        <v>1</v>
      </c>
      <c r="C14" s="83">
        <f>Tableau6[[#This Row],[N° pas]]*$A$2</f>
        <v>60</v>
      </c>
      <c r="D14" s="101">
        <f>IF($B14=$B13,Tableau6[[#This Row],[x0]],INDEX(Flexion!D$11:Z$11,$B14))</f>
        <v>60</v>
      </c>
      <c r="E14" s="83" t="str">
        <f>IF(B14=B13,"-",VALUE(INDEX(Flexion!D$10:Z$10,Tableau6[[#This Row],[Col.]])))</f>
        <v>-</v>
      </c>
      <c r="F14" s="83" t="str">
        <f>IF(E14="-","-",IF(INDEX(Flexion!D$12:Z$12,Tableau6[[#This Row],[Col.]])="","-",INDEX(Flexion!D$12:Z$12,Tableau6[[#This Row],[Col.]])))</f>
        <v>-</v>
      </c>
      <c r="G14" s="84">
        <f>IF(Tableau6[[#This Row],[Nœud]]&lt;&gt;"-",INDEX(Flexion!D$13:Z$13,Tableau6[[#This Row],[Col.]]),)</f>
        <v>0</v>
      </c>
      <c r="H14" s="83">
        <f>IF(Tableau6[[#This Row],[Appui]]&lt;&gt;"-",INDEX(Flexion!D$14:Z$14,Tableau6[[#This Row],[Col.]]),)</f>
        <v>0</v>
      </c>
      <c r="I14" s="92">
        <f>$I13+($D14-$D13)*(SUM($G$10:$G13,$H$10:$H13))</f>
        <v>-30000</v>
      </c>
      <c r="J14" s="84">
        <f>INDEX(Flexion!D$16:Z$16,Tableau6[[#This Row],[Col.]])*($D15-$D14)</f>
        <v>0</v>
      </c>
      <c r="K14" s="83">
        <f>IF(B14=B13,0,INDEX(Flexion!D$20:Z$20,Tableau6[[#This Row],[Col.]]))</f>
        <v>0</v>
      </c>
      <c r="L14" s="92">
        <f>$L13+($D14-$D13)*(SUM($J$10:$J13,$K$10:$K13)-$J13/2)</f>
        <v>0</v>
      </c>
      <c r="M14" s="84">
        <f>Tableau6[[#This Row],[Fr nod.]]+Tableau6[[#This Row],[Fr lin.]]</f>
        <v>0</v>
      </c>
      <c r="N14" s="92">
        <f>Tableau6[[#This Row],[Mt nod.]]+Tableau6[[#This Row],[Mt lin.]]</f>
        <v>-30000</v>
      </c>
      <c r="O14" s="82">
        <f t="shared" si="3"/>
        <v>-900000</v>
      </c>
      <c r="P14" s="82">
        <f t="shared" ca="1" si="0"/>
        <v>-4.4212456502367033E-4</v>
      </c>
      <c r="Q14" s="82">
        <f t="shared" si="4"/>
        <v>-18562500</v>
      </c>
      <c r="R14" s="82">
        <f t="shared" ca="1" si="1"/>
        <v>0.22240100187134504</v>
      </c>
      <c r="S14" s="102">
        <f ca="1">OFFSET($A14,,CHOOSE(Flexion!$A$26,COLUMN($M$9)-1,COLUMN($N$9)-1,COLUMN($P$9)-1,COLUMN($R$9)-1))</f>
        <v>-30000</v>
      </c>
    </row>
    <row r="15" spans="1:24" x14ac:dyDescent="0.2">
      <c r="A15" s="83">
        <f t="shared" si="2"/>
        <v>5</v>
      </c>
      <c r="B15" s="83">
        <f>MATCH(Tableau6[[#This Row],[x0]],Flexion!D$11:Z$11,1)</f>
        <v>1</v>
      </c>
      <c r="C15" s="83">
        <f>Tableau6[[#This Row],[N° pas]]*$A$2</f>
        <v>75</v>
      </c>
      <c r="D15" s="101">
        <f>IF($B15=$B14,Tableau6[[#This Row],[x0]],INDEX(Flexion!D$11:Z$11,$B15))</f>
        <v>75</v>
      </c>
      <c r="E15" s="83" t="str">
        <f>IF(B15=B14,"-",VALUE(INDEX(Flexion!D$10:Z$10,Tableau6[[#This Row],[Col.]])))</f>
        <v>-</v>
      </c>
      <c r="F15" s="83" t="str">
        <f>IF(E15="-","-",IF(INDEX(Flexion!D$12:Z$12,Tableau6[[#This Row],[Col.]])="","-",INDEX(Flexion!D$12:Z$12,Tableau6[[#This Row],[Col.]])))</f>
        <v>-</v>
      </c>
      <c r="G15" s="84">
        <f>IF(Tableau6[[#This Row],[Nœud]]&lt;&gt;"-",INDEX(Flexion!D$13:Z$13,Tableau6[[#This Row],[Col.]]),)</f>
        <v>0</v>
      </c>
      <c r="H15" s="83">
        <f>IF(Tableau6[[#This Row],[Appui]]&lt;&gt;"-",INDEX(Flexion!D$14:Z$14,Tableau6[[#This Row],[Col.]]),)</f>
        <v>0</v>
      </c>
      <c r="I15" s="92">
        <f>$I14+($D15-$D14)*(SUM($G$10:$G14,$H$10:$H14))</f>
        <v>-37500</v>
      </c>
      <c r="J15" s="84">
        <f>INDEX(Flexion!D$16:Z$16,Tableau6[[#This Row],[Col.]])*($D16-$D15)</f>
        <v>0</v>
      </c>
      <c r="K15" s="83">
        <f>IF(B15=B14,0,INDEX(Flexion!D$20:Z$20,Tableau6[[#This Row],[Col.]]))</f>
        <v>0</v>
      </c>
      <c r="L15" s="92">
        <f>$L14+($D15-$D14)*(SUM($J$10:$J14,$K$10:$K14)-$J14/2)</f>
        <v>0</v>
      </c>
      <c r="M15" s="84">
        <f>Tableau6[[#This Row],[Fr nod.]]+Tableau6[[#This Row],[Fr lin.]]</f>
        <v>0</v>
      </c>
      <c r="N15" s="92">
        <f>Tableau6[[#This Row],[Mt nod.]]+Tableau6[[#This Row],[Mt lin.]]</f>
        <v>-37500</v>
      </c>
      <c r="O15" s="82">
        <f t="shared" si="3"/>
        <v>-1406250</v>
      </c>
      <c r="P15" s="82">
        <f t="shared" ca="1" si="0"/>
        <v>-4.4353433945976053E-4</v>
      </c>
      <c r="Q15" s="82">
        <f t="shared" si="4"/>
        <v>-35859375</v>
      </c>
      <c r="R15" s="82">
        <f t="shared" ca="1" si="1"/>
        <v>0.21575856008771932</v>
      </c>
      <c r="S15" s="102">
        <f ca="1">OFFSET($A15,,CHOOSE(Flexion!$A$26,COLUMN($M$9)-1,COLUMN($N$9)-1,COLUMN($P$9)-1,COLUMN($R$9)-1))</f>
        <v>-37500</v>
      </c>
    </row>
    <row r="16" spans="1:24" x14ac:dyDescent="0.2">
      <c r="A16" s="83">
        <f t="shared" si="2"/>
        <v>6</v>
      </c>
      <c r="B16" s="83">
        <f>MATCH(Tableau6[[#This Row],[x0]],Flexion!D$11:Z$11,1)</f>
        <v>1</v>
      </c>
      <c r="C16" s="83">
        <f>Tableau6[[#This Row],[N° pas]]*$A$2</f>
        <v>90</v>
      </c>
      <c r="D16" s="101">
        <f>IF($B16=$B15,Tableau6[[#This Row],[x0]],INDEX(Flexion!D$11:Z$11,$B16))</f>
        <v>90</v>
      </c>
      <c r="E16" s="83" t="str">
        <f>IF(B16=B15,"-",VALUE(INDEX(Flexion!D$10:Z$10,Tableau6[[#This Row],[Col.]])))</f>
        <v>-</v>
      </c>
      <c r="F16" s="83" t="str">
        <f>IF(E16="-","-",IF(INDEX(Flexion!D$12:Z$12,Tableau6[[#This Row],[Col.]])="","-",INDEX(Flexion!D$12:Z$12,Tableau6[[#This Row],[Col.]])))</f>
        <v>-</v>
      </c>
      <c r="G16" s="84">
        <f>IF(Tableau6[[#This Row],[Nœud]]&lt;&gt;"-",INDEX(Flexion!D$13:Z$13,Tableau6[[#This Row],[Col.]]),)</f>
        <v>0</v>
      </c>
      <c r="H16" s="83">
        <f>IF(Tableau6[[#This Row],[Appui]]&lt;&gt;"-",INDEX(Flexion!D$14:Z$14,Tableau6[[#This Row],[Col.]]),)</f>
        <v>0</v>
      </c>
      <c r="I16" s="92">
        <f>$I15+($D16-$D15)*(SUM($G$10:$G15,$H$10:$H15))</f>
        <v>-45000</v>
      </c>
      <c r="J16" s="84">
        <f>INDEX(Flexion!D$16:Z$16,Tableau6[[#This Row],[Col.]])*($D17-$D16)</f>
        <v>0</v>
      </c>
      <c r="K16" s="83">
        <f>IF(B16=B15,0,INDEX(Flexion!D$20:Z$20,Tableau6[[#This Row],[Col.]]))</f>
        <v>0</v>
      </c>
      <c r="L16" s="92">
        <f>$L15+($D16-$D15)*(SUM($J$10:$J15,$K$10:$K15)-$J15/2)</f>
        <v>0</v>
      </c>
      <c r="M16" s="84">
        <f>Tableau6[[#This Row],[Fr nod.]]+Tableau6[[#This Row],[Fr lin.]]</f>
        <v>0</v>
      </c>
      <c r="N16" s="92">
        <f>Tableau6[[#This Row],[Mt nod.]]+Tableau6[[#This Row],[Mt lin.]]</f>
        <v>-45000</v>
      </c>
      <c r="O16" s="82">
        <f t="shared" si="3"/>
        <v>-2025000</v>
      </c>
      <c r="P16" s="82">
        <f t="shared" ca="1" si="0"/>
        <v>-4.4525739710387079E-4</v>
      </c>
      <c r="Q16" s="82">
        <f t="shared" si="4"/>
        <v>-61593750</v>
      </c>
      <c r="R16" s="82">
        <f t="shared" ca="1" si="1"/>
        <v>0.20909262206349208</v>
      </c>
      <c r="S16" s="102">
        <f ca="1">OFFSET($A16,,CHOOSE(Flexion!$A$26,COLUMN($M$9)-1,COLUMN($N$9)-1,COLUMN($P$9)-1,COLUMN($R$9)-1))</f>
        <v>-45000</v>
      </c>
    </row>
    <row r="17" spans="1:19" x14ac:dyDescent="0.2">
      <c r="A17" s="83">
        <f t="shared" si="2"/>
        <v>7</v>
      </c>
      <c r="B17" s="83">
        <f>MATCH(Tableau6[[#This Row],[x0]],Flexion!D$11:Z$11,1)</f>
        <v>1</v>
      </c>
      <c r="C17" s="83">
        <f>Tableau6[[#This Row],[N° pas]]*$A$2</f>
        <v>105</v>
      </c>
      <c r="D17" s="101">
        <f>IF($B17=$B16,Tableau6[[#This Row],[x0]],INDEX(Flexion!D$11:Z$11,$B17))</f>
        <v>105</v>
      </c>
      <c r="E17" s="83" t="str">
        <f>IF(B17=B16,"-",VALUE(INDEX(Flexion!D$10:Z$10,Tableau6[[#This Row],[Col.]])))</f>
        <v>-</v>
      </c>
      <c r="F17" s="83" t="str">
        <f>IF(E17="-","-",IF(INDEX(Flexion!D$12:Z$12,Tableau6[[#This Row],[Col.]])="","-",INDEX(Flexion!D$12:Z$12,Tableau6[[#This Row],[Col.]])))</f>
        <v>-</v>
      </c>
      <c r="G17" s="84">
        <f>IF(Tableau6[[#This Row],[Nœud]]&lt;&gt;"-",INDEX(Flexion!D$13:Z$13,Tableau6[[#This Row],[Col.]]),)</f>
        <v>0</v>
      </c>
      <c r="H17" s="83">
        <f>IF(Tableau6[[#This Row],[Appui]]&lt;&gt;"-",INDEX(Flexion!D$14:Z$14,Tableau6[[#This Row],[Col.]]),)</f>
        <v>0</v>
      </c>
      <c r="I17" s="92">
        <f>$I16+($D17-$D16)*(SUM($G$10:$G16,$H$10:$H16))</f>
        <v>-52500</v>
      </c>
      <c r="J17" s="84">
        <f>INDEX(Flexion!D$16:Z$16,Tableau6[[#This Row],[Col.]])*($D18-$D17)</f>
        <v>0</v>
      </c>
      <c r="K17" s="83">
        <f>IF(B17=B16,0,INDEX(Flexion!D$20:Z$20,Tableau6[[#This Row],[Col.]]))</f>
        <v>0</v>
      </c>
      <c r="L17" s="92">
        <f>$L16+($D17-$D16)*(SUM($J$10:$J16,$K$10:$K16)-$J16/2)</f>
        <v>0</v>
      </c>
      <c r="M17" s="84">
        <f>Tableau6[[#This Row],[Fr nod.]]+Tableau6[[#This Row],[Fr lin.]]</f>
        <v>0</v>
      </c>
      <c r="N17" s="92">
        <f>Tableau6[[#This Row],[Mt nod.]]+Tableau6[[#This Row],[Mt lin.]]</f>
        <v>-52500</v>
      </c>
      <c r="O17" s="82">
        <f t="shared" si="3"/>
        <v>-2756250</v>
      </c>
      <c r="P17" s="82">
        <f t="shared" ca="1" si="0"/>
        <v>-4.4729373795600113E-4</v>
      </c>
      <c r="Q17" s="82">
        <f t="shared" si="4"/>
        <v>-97453125</v>
      </c>
      <c r="R17" s="82">
        <f t="shared" ca="1" si="1"/>
        <v>0.20239848855054304</v>
      </c>
      <c r="S17" s="102">
        <f ca="1">OFFSET($A17,,CHOOSE(Flexion!$A$26,COLUMN($M$9)-1,COLUMN($N$9)-1,COLUMN($P$9)-1,COLUMN($R$9)-1))</f>
        <v>-52500</v>
      </c>
    </row>
    <row r="18" spans="1:19" x14ac:dyDescent="0.2">
      <c r="A18" s="83">
        <f t="shared" si="2"/>
        <v>8</v>
      </c>
      <c r="B18" s="83">
        <f>MATCH(Tableau6[[#This Row],[x0]],Flexion!D$11:Z$11,1)</f>
        <v>1</v>
      </c>
      <c r="C18" s="83">
        <f>Tableau6[[#This Row],[N° pas]]*$A$2</f>
        <v>120</v>
      </c>
      <c r="D18" s="101">
        <f>IF($B18=$B17,Tableau6[[#This Row],[x0]],INDEX(Flexion!D$11:Z$11,$B18))</f>
        <v>120</v>
      </c>
      <c r="E18" s="83" t="str">
        <f>IF(B18=B17,"-",VALUE(INDEX(Flexion!D$10:Z$10,Tableau6[[#This Row],[Col.]])))</f>
        <v>-</v>
      </c>
      <c r="F18" s="83" t="str">
        <f>IF(E18="-","-",IF(INDEX(Flexion!D$12:Z$12,Tableau6[[#This Row],[Col.]])="","-",INDEX(Flexion!D$12:Z$12,Tableau6[[#This Row],[Col.]])))</f>
        <v>-</v>
      </c>
      <c r="G18" s="84">
        <f>IF(Tableau6[[#This Row],[Nœud]]&lt;&gt;"-",INDEX(Flexion!D$13:Z$13,Tableau6[[#This Row],[Col.]]),)</f>
        <v>0</v>
      </c>
      <c r="H18" s="83">
        <f>IF(Tableau6[[#This Row],[Appui]]&lt;&gt;"-",INDEX(Flexion!D$14:Z$14,Tableau6[[#This Row],[Col.]]),)</f>
        <v>0</v>
      </c>
      <c r="I18" s="92">
        <f>$I17+($D18-$D17)*(SUM($G$10:$G17,$H$10:$H17))</f>
        <v>-60000</v>
      </c>
      <c r="J18" s="84">
        <f>INDEX(Flexion!D$16:Z$16,Tableau6[[#This Row],[Col.]])*($D19-$D18)</f>
        <v>0</v>
      </c>
      <c r="K18" s="83">
        <f>IF(B18=B17,0,INDEX(Flexion!D$20:Z$20,Tableau6[[#This Row],[Col.]]))</f>
        <v>0</v>
      </c>
      <c r="L18" s="92">
        <f>$L17+($D18-$D17)*(SUM($J$10:$J17,$K$10:$K17)-$J17/2)</f>
        <v>0</v>
      </c>
      <c r="M18" s="84">
        <f>Tableau6[[#This Row],[Fr nod.]]+Tableau6[[#This Row],[Fr lin.]]</f>
        <v>0</v>
      </c>
      <c r="N18" s="92">
        <f>Tableau6[[#This Row],[Mt nod.]]+Tableau6[[#This Row],[Mt lin.]]</f>
        <v>-60000</v>
      </c>
      <c r="O18" s="82">
        <f t="shared" si="3"/>
        <v>-3600000</v>
      </c>
      <c r="P18" s="82">
        <f t="shared" ca="1" si="0"/>
        <v>-4.4964336201615149E-4</v>
      </c>
      <c r="Q18" s="82">
        <f t="shared" si="4"/>
        <v>-145125000</v>
      </c>
      <c r="R18" s="82">
        <f t="shared" ca="1" si="1"/>
        <v>0.19567146030075189</v>
      </c>
      <c r="S18" s="102">
        <f ca="1">OFFSET($A18,,CHOOSE(Flexion!$A$26,COLUMN($M$9)-1,COLUMN($N$9)-1,COLUMN($P$9)-1,COLUMN($R$9)-1))</f>
        <v>-60000</v>
      </c>
    </row>
    <row r="19" spans="1:19" x14ac:dyDescent="0.2">
      <c r="A19" s="83">
        <f t="shared" si="2"/>
        <v>9</v>
      </c>
      <c r="B19" s="83">
        <f>MATCH(Tableau6[[#This Row],[x0]],Flexion!D$11:Z$11,1)</f>
        <v>1</v>
      </c>
      <c r="C19" s="83">
        <f>Tableau6[[#This Row],[N° pas]]*$A$2</f>
        <v>135</v>
      </c>
      <c r="D19" s="101">
        <f>IF($B19=$B18,Tableau6[[#This Row],[x0]],INDEX(Flexion!D$11:Z$11,$B19))</f>
        <v>135</v>
      </c>
      <c r="E19" s="83" t="str">
        <f>IF(B19=B18,"-",VALUE(INDEX(Flexion!D$10:Z$10,Tableau6[[#This Row],[Col.]])))</f>
        <v>-</v>
      </c>
      <c r="F19" s="83" t="str">
        <f>IF(E19="-","-",IF(INDEX(Flexion!D$12:Z$12,Tableau6[[#This Row],[Col.]])="","-",INDEX(Flexion!D$12:Z$12,Tableau6[[#This Row],[Col.]])))</f>
        <v>-</v>
      </c>
      <c r="G19" s="84">
        <f>IF(Tableau6[[#This Row],[Nœud]]&lt;&gt;"-",INDEX(Flexion!D$13:Z$13,Tableau6[[#This Row],[Col.]]),)</f>
        <v>0</v>
      </c>
      <c r="H19" s="83">
        <f>IF(Tableau6[[#This Row],[Appui]]&lt;&gt;"-",INDEX(Flexion!D$14:Z$14,Tableau6[[#This Row],[Col.]]),)</f>
        <v>0</v>
      </c>
      <c r="I19" s="92">
        <f>$I18+($D19-$D18)*(SUM($G$10:$G18,$H$10:$H18))</f>
        <v>-67500</v>
      </c>
      <c r="J19" s="84">
        <f>INDEX(Flexion!D$16:Z$16,Tableau6[[#This Row],[Col.]])*($D20-$D19)</f>
        <v>0</v>
      </c>
      <c r="K19" s="83">
        <f>IF(B19=B18,0,INDEX(Flexion!D$20:Z$20,Tableau6[[#This Row],[Col.]]))</f>
        <v>0</v>
      </c>
      <c r="L19" s="92">
        <f>$L18+($D19-$D18)*(SUM($J$10:$J18,$K$10:$K18)-$J18/2)</f>
        <v>0</v>
      </c>
      <c r="M19" s="84">
        <f>Tableau6[[#This Row],[Fr nod.]]+Tableau6[[#This Row],[Fr lin.]]</f>
        <v>0</v>
      </c>
      <c r="N19" s="92">
        <f>Tableau6[[#This Row],[Mt nod.]]+Tableau6[[#This Row],[Mt lin.]]</f>
        <v>-67500</v>
      </c>
      <c r="O19" s="82">
        <f t="shared" si="3"/>
        <v>-4556250</v>
      </c>
      <c r="P19" s="82">
        <f t="shared" ca="1" si="0"/>
        <v>-4.5230626928432192E-4</v>
      </c>
      <c r="Q19" s="82">
        <f t="shared" si="4"/>
        <v>-206296875</v>
      </c>
      <c r="R19" s="82">
        <f t="shared" ca="1" si="1"/>
        <v>0.18890683806599834</v>
      </c>
      <c r="S19" s="102">
        <f ca="1">OFFSET($A19,,CHOOSE(Flexion!$A$26,COLUMN($M$9)-1,COLUMN($N$9)-1,COLUMN($P$9)-1,COLUMN($R$9)-1))</f>
        <v>-67500</v>
      </c>
    </row>
    <row r="20" spans="1:19" x14ac:dyDescent="0.2">
      <c r="A20" s="83">
        <f t="shared" si="2"/>
        <v>10</v>
      </c>
      <c r="B20" s="83">
        <f>MATCH(Tableau6[[#This Row],[x0]],Flexion!D$11:Z$11,1)</f>
        <v>1</v>
      </c>
      <c r="C20" s="83">
        <f>Tableau6[[#This Row],[N° pas]]*$A$2</f>
        <v>150</v>
      </c>
      <c r="D20" s="101">
        <f>IF($B20=$B19,Tableau6[[#This Row],[x0]],INDEX(Flexion!D$11:Z$11,$B20))</f>
        <v>150</v>
      </c>
      <c r="E20" s="83" t="str">
        <f>IF(B20=B19,"-",VALUE(INDEX(Flexion!D$10:Z$10,Tableau6[[#This Row],[Col.]])))</f>
        <v>-</v>
      </c>
      <c r="F20" s="83" t="str">
        <f>IF(E20="-","-",IF(INDEX(Flexion!D$12:Z$12,Tableau6[[#This Row],[Col.]])="","-",INDEX(Flexion!D$12:Z$12,Tableau6[[#This Row],[Col.]])))</f>
        <v>-</v>
      </c>
      <c r="G20" s="84">
        <f>IF(Tableau6[[#This Row],[Nœud]]&lt;&gt;"-",INDEX(Flexion!D$13:Z$13,Tableau6[[#This Row],[Col.]]),)</f>
        <v>0</v>
      </c>
      <c r="H20" s="83">
        <f>IF(Tableau6[[#This Row],[Appui]]&lt;&gt;"-",INDEX(Flexion!D$14:Z$14,Tableau6[[#This Row],[Col.]]),)</f>
        <v>0</v>
      </c>
      <c r="I20" s="92">
        <f>$I19+($D20-$D19)*(SUM($G$10:$G19,$H$10:$H19))</f>
        <v>-75000</v>
      </c>
      <c r="J20" s="84">
        <f>INDEX(Flexion!D$16:Z$16,Tableau6[[#This Row],[Col.]])*($D21-$D20)</f>
        <v>0</v>
      </c>
      <c r="K20" s="83">
        <f>IF(B20=B19,0,INDEX(Flexion!D$20:Z$20,Tableau6[[#This Row],[Col.]]))</f>
        <v>0</v>
      </c>
      <c r="L20" s="92">
        <f>$L19+($D20-$D19)*(SUM($J$10:$J19,$K$10:$K19)-$J19/2)</f>
        <v>0</v>
      </c>
      <c r="M20" s="84">
        <f>Tableau6[[#This Row],[Fr nod.]]+Tableau6[[#This Row],[Fr lin.]]</f>
        <v>0</v>
      </c>
      <c r="N20" s="92">
        <f>Tableau6[[#This Row],[Mt nod.]]+Tableau6[[#This Row],[Mt lin.]]</f>
        <v>-75000</v>
      </c>
      <c r="O20" s="82">
        <f t="shared" si="3"/>
        <v>-5625000</v>
      </c>
      <c r="P20" s="82">
        <f t="shared" ca="1" si="0"/>
        <v>-4.5528245976051243E-4</v>
      </c>
      <c r="Q20" s="82">
        <f t="shared" si="4"/>
        <v>-282656250</v>
      </c>
      <c r="R20" s="82">
        <f t="shared" ca="1" si="1"/>
        <v>0.1820999225981621</v>
      </c>
      <c r="S20" s="102">
        <f ca="1">OFFSET($A20,,CHOOSE(Flexion!$A$26,COLUMN($M$9)-1,COLUMN($N$9)-1,COLUMN($P$9)-1,COLUMN($R$9)-1))</f>
        <v>-75000</v>
      </c>
    </row>
    <row r="21" spans="1:19" x14ac:dyDescent="0.2">
      <c r="A21" s="83">
        <f t="shared" si="2"/>
        <v>11</v>
      </c>
      <c r="B21" s="83">
        <f>MATCH(Tableau6[[#This Row],[x0]],Flexion!D$11:Z$11,1)</f>
        <v>1</v>
      </c>
      <c r="C21" s="83">
        <f>Tableau6[[#This Row],[N° pas]]*$A$2</f>
        <v>165</v>
      </c>
      <c r="D21" s="101">
        <f>IF($B21=$B20,Tableau6[[#This Row],[x0]],INDEX(Flexion!D$11:Z$11,$B21))</f>
        <v>165</v>
      </c>
      <c r="E21" s="83" t="str">
        <f>IF(B21=B20,"-",VALUE(INDEX(Flexion!D$10:Z$10,Tableau6[[#This Row],[Col.]])))</f>
        <v>-</v>
      </c>
      <c r="F21" s="83" t="str">
        <f>IF(E21="-","-",IF(INDEX(Flexion!D$12:Z$12,Tableau6[[#This Row],[Col.]])="","-",INDEX(Flexion!D$12:Z$12,Tableau6[[#This Row],[Col.]])))</f>
        <v>-</v>
      </c>
      <c r="G21" s="84">
        <f>IF(Tableau6[[#This Row],[Nœud]]&lt;&gt;"-",INDEX(Flexion!D$13:Z$13,Tableau6[[#This Row],[Col.]]),)</f>
        <v>0</v>
      </c>
      <c r="H21" s="83">
        <f>IF(Tableau6[[#This Row],[Appui]]&lt;&gt;"-",INDEX(Flexion!D$14:Z$14,Tableau6[[#This Row],[Col.]]),)</f>
        <v>0</v>
      </c>
      <c r="I21" s="92">
        <f>$I20+($D21-$D20)*(SUM($G$10:$G20,$H$10:$H20))</f>
        <v>-82500</v>
      </c>
      <c r="J21" s="84">
        <f>INDEX(Flexion!D$16:Z$16,Tableau6[[#This Row],[Col.]])*($D22-$D21)</f>
        <v>0</v>
      </c>
      <c r="K21" s="83">
        <f>IF(B21=B20,0,INDEX(Flexion!D$20:Z$20,Tableau6[[#This Row],[Col.]]))</f>
        <v>0</v>
      </c>
      <c r="L21" s="92">
        <f>$L20+($D21-$D20)*(SUM($J$10:$J20,$K$10:$K20)-$J20/2)</f>
        <v>0</v>
      </c>
      <c r="M21" s="84">
        <f>Tableau6[[#This Row],[Fr nod.]]+Tableau6[[#This Row],[Fr lin.]]</f>
        <v>0</v>
      </c>
      <c r="N21" s="92">
        <f>Tableau6[[#This Row],[Mt nod.]]+Tableau6[[#This Row],[Mt lin.]]</f>
        <v>-82500</v>
      </c>
      <c r="O21" s="82">
        <f t="shared" si="3"/>
        <v>-6806250</v>
      </c>
      <c r="P21" s="82">
        <f t="shared" ca="1" si="0"/>
        <v>-4.5857193344472295E-4</v>
      </c>
      <c r="Q21" s="82">
        <f t="shared" si="4"/>
        <v>-375890625</v>
      </c>
      <c r="R21" s="82">
        <f t="shared" ca="1" si="1"/>
        <v>0.17524601464912282</v>
      </c>
      <c r="S21" s="102">
        <f ca="1">OFFSET($A21,,CHOOSE(Flexion!$A$26,COLUMN($M$9)-1,COLUMN($N$9)-1,COLUMN($P$9)-1,COLUMN($R$9)-1))</f>
        <v>-82500</v>
      </c>
    </row>
    <row r="22" spans="1:19" x14ac:dyDescent="0.2">
      <c r="A22" s="83">
        <f t="shared" si="2"/>
        <v>12</v>
      </c>
      <c r="B22" s="83">
        <f>MATCH(Tableau6[[#This Row],[x0]],Flexion!D$11:Z$11,1)</f>
        <v>1</v>
      </c>
      <c r="C22" s="83">
        <f>Tableau6[[#This Row],[N° pas]]*$A$2</f>
        <v>180</v>
      </c>
      <c r="D22" s="101">
        <f>IF($B22=$B21,Tableau6[[#This Row],[x0]],INDEX(Flexion!D$11:Z$11,$B22))</f>
        <v>180</v>
      </c>
      <c r="E22" s="83" t="str">
        <f>IF(B22=B21,"-",VALUE(INDEX(Flexion!D$10:Z$10,Tableau6[[#This Row],[Col.]])))</f>
        <v>-</v>
      </c>
      <c r="F22" s="83" t="str">
        <f>IF(E22="-","-",IF(INDEX(Flexion!D$12:Z$12,Tableau6[[#This Row],[Col.]])="","-",INDEX(Flexion!D$12:Z$12,Tableau6[[#This Row],[Col.]])))</f>
        <v>-</v>
      </c>
      <c r="G22" s="84">
        <f>IF(Tableau6[[#This Row],[Nœud]]&lt;&gt;"-",INDEX(Flexion!D$13:Z$13,Tableau6[[#This Row],[Col.]]),)</f>
        <v>0</v>
      </c>
      <c r="H22" s="83">
        <f>IF(Tableau6[[#This Row],[Appui]]&lt;&gt;"-",INDEX(Flexion!D$14:Z$14,Tableau6[[#This Row],[Col.]]),)</f>
        <v>0</v>
      </c>
      <c r="I22" s="92">
        <f>$I21+($D22-$D21)*(SUM($G$10:$G21,$H$10:$H21))</f>
        <v>-90000</v>
      </c>
      <c r="J22" s="84">
        <f>INDEX(Flexion!D$16:Z$16,Tableau6[[#This Row],[Col.]])*($D23-$D22)</f>
        <v>0</v>
      </c>
      <c r="K22" s="83">
        <f>IF(B22=B21,0,INDEX(Flexion!D$20:Z$20,Tableau6[[#This Row],[Col.]]))</f>
        <v>0</v>
      </c>
      <c r="L22" s="92">
        <f>$L21+($D22-$D21)*(SUM($J$10:$J21,$K$10:$K21)-$J21/2)</f>
        <v>0</v>
      </c>
      <c r="M22" s="84">
        <f>Tableau6[[#This Row],[Fr nod.]]+Tableau6[[#This Row],[Fr lin.]]</f>
        <v>0</v>
      </c>
      <c r="N22" s="92">
        <f>Tableau6[[#This Row],[Mt nod.]]+Tableau6[[#This Row],[Mt lin.]]</f>
        <v>-90000</v>
      </c>
      <c r="O22" s="82">
        <f t="shared" si="3"/>
        <v>-8100000</v>
      </c>
      <c r="P22" s="82">
        <f t="shared" ca="1" si="0"/>
        <v>-4.6217469033695349E-4</v>
      </c>
      <c r="Q22" s="82">
        <f t="shared" si="4"/>
        <v>-487687500</v>
      </c>
      <c r="R22" s="82">
        <f t="shared" ca="1" si="1"/>
        <v>0.16834041497076024</v>
      </c>
      <c r="S22" s="102">
        <f ca="1">OFFSET($A22,,CHOOSE(Flexion!$A$26,COLUMN($M$9)-1,COLUMN($N$9)-1,COLUMN($P$9)-1,COLUMN($R$9)-1))</f>
        <v>-90000</v>
      </c>
    </row>
    <row r="23" spans="1:19" x14ac:dyDescent="0.2">
      <c r="A23" s="83">
        <f t="shared" si="2"/>
        <v>13</v>
      </c>
      <c r="B23" s="83">
        <f>MATCH(Tableau6[[#This Row],[x0]],Flexion!D$11:Z$11,1)</f>
        <v>1</v>
      </c>
      <c r="C23" s="83">
        <f>Tableau6[[#This Row],[N° pas]]*$A$2</f>
        <v>195</v>
      </c>
      <c r="D23" s="101">
        <f>IF($B23=$B22,Tableau6[[#This Row],[x0]],INDEX(Flexion!D$11:Z$11,$B23))</f>
        <v>195</v>
      </c>
      <c r="E23" s="83" t="str">
        <f>IF(B23=B22,"-",VALUE(INDEX(Flexion!D$10:Z$10,Tableau6[[#This Row],[Col.]])))</f>
        <v>-</v>
      </c>
      <c r="F23" s="83" t="str">
        <f>IF(E23="-","-",IF(INDEX(Flexion!D$12:Z$12,Tableau6[[#This Row],[Col.]])="","-",INDEX(Flexion!D$12:Z$12,Tableau6[[#This Row],[Col.]])))</f>
        <v>-</v>
      </c>
      <c r="G23" s="84">
        <f>IF(Tableau6[[#This Row],[Nœud]]&lt;&gt;"-",INDEX(Flexion!D$13:Z$13,Tableau6[[#This Row],[Col.]]),)</f>
        <v>0</v>
      </c>
      <c r="H23" s="83">
        <f>IF(Tableau6[[#This Row],[Appui]]&lt;&gt;"-",INDEX(Flexion!D$14:Z$14,Tableau6[[#This Row],[Col.]]),)</f>
        <v>0</v>
      </c>
      <c r="I23" s="92">
        <f>$I22+($D23-$D22)*(SUM($G$10:$G22,$H$10:$H22))</f>
        <v>-97500</v>
      </c>
      <c r="J23" s="84">
        <f>INDEX(Flexion!D$16:Z$16,Tableau6[[#This Row],[Col.]])*($D24-$D23)</f>
        <v>0</v>
      </c>
      <c r="K23" s="83">
        <f>IF(B23=B22,0,INDEX(Flexion!D$20:Z$20,Tableau6[[#This Row],[Col.]]))</f>
        <v>0</v>
      </c>
      <c r="L23" s="92">
        <f>$L22+($D23-$D22)*(SUM($J$10:$J22,$K$10:$K22)-$J22/2)</f>
        <v>0</v>
      </c>
      <c r="M23" s="84">
        <f>Tableau6[[#This Row],[Fr nod.]]+Tableau6[[#This Row],[Fr lin.]]</f>
        <v>0</v>
      </c>
      <c r="N23" s="92">
        <f>Tableau6[[#This Row],[Mt nod.]]+Tableau6[[#This Row],[Mt lin.]]</f>
        <v>-97500</v>
      </c>
      <c r="O23" s="82">
        <f t="shared" si="3"/>
        <v>-9506250</v>
      </c>
      <c r="P23" s="82">
        <f t="shared" ca="1" si="0"/>
        <v>-4.6609073043720416E-4</v>
      </c>
      <c r="Q23" s="82">
        <f t="shared" si="4"/>
        <v>-619734375</v>
      </c>
      <c r="R23" s="82">
        <f t="shared" ca="1" si="1"/>
        <v>0.16137842431495406</v>
      </c>
      <c r="S23" s="102">
        <f ca="1">OFFSET($A23,,CHOOSE(Flexion!$A$26,COLUMN($M$9)-1,COLUMN($N$9)-1,COLUMN($P$9)-1,COLUMN($R$9)-1))</f>
        <v>-97500</v>
      </c>
    </row>
    <row r="24" spans="1:19" x14ac:dyDescent="0.2">
      <c r="A24" s="83">
        <f t="shared" si="2"/>
        <v>14</v>
      </c>
      <c r="B24" s="83">
        <f>MATCH(Tableau6[[#This Row],[x0]],Flexion!D$11:Z$11,1)</f>
        <v>1</v>
      </c>
      <c r="C24" s="83">
        <f>Tableau6[[#This Row],[N° pas]]*$A$2</f>
        <v>210</v>
      </c>
      <c r="D24" s="101">
        <f>IF($B24=$B23,Tableau6[[#This Row],[x0]],INDEX(Flexion!D$11:Z$11,$B24))</f>
        <v>210</v>
      </c>
      <c r="E24" s="83" t="str">
        <f>IF(B24=B23,"-",VALUE(INDEX(Flexion!D$10:Z$10,Tableau6[[#This Row],[Col.]])))</f>
        <v>-</v>
      </c>
      <c r="F24" s="83" t="str">
        <f>IF(E24="-","-",IF(INDEX(Flexion!D$12:Z$12,Tableau6[[#This Row],[Col.]])="","-",INDEX(Flexion!D$12:Z$12,Tableau6[[#This Row],[Col.]])))</f>
        <v>-</v>
      </c>
      <c r="G24" s="84">
        <f>IF(Tableau6[[#This Row],[Nœud]]&lt;&gt;"-",INDEX(Flexion!D$13:Z$13,Tableau6[[#This Row],[Col.]]),)</f>
        <v>0</v>
      </c>
      <c r="H24" s="83">
        <f>IF(Tableau6[[#This Row],[Appui]]&lt;&gt;"-",INDEX(Flexion!D$14:Z$14,Tableau6[[#This Row],[Col.]]),)</f>
        <v>0</v>
      </c>
      <c r="I24" s="92">
        <f>$I23+($D24-$D23)*(SUM($G$10:$G23,$H$10:$H23))</f>
        <v>-105000</v>
      </c>
      <c r="J24" s="84">
        <f>INDEX(Flexion!D$16:Z$16,Tableau6[[#This Row],[Col.]])*($D25-$D24)</f>
        <v>0</v>
      </c>
      <c r="K24" s="83">
        <f>IF(B24=B23,0,INDEX(Flexion!D$20:Z$20,Tableau6[[#This Row],[Col.]]))</f>
        <v>0</v>
      </c>
      <c r="L24" s="92">
        <f>$L23+($D24-$D23)*(SUM($J$10:$J23,$K$10:$K23)-$J23/2)</f>
        <v>0</v>
      </c>
      <c r="M24" s="84">
        <f>Tableau6[[#This Row],[Fr nod.]]+Tableau6[[#This Row],[Fr lin.]]</f>
        <v>0</v>
      </c>
      <c r="N24" s="92">
        <f>Tableau6[[#This Row],[Mt nod.]]+Tableau6[[#This Row],[Mt lin.]]</f>
        <v>-105000</v>
      </c>
      <c r="O24" s="82">
        <f t="shared" si="3"/>
        <v>-11025000</v>
      </c>
      <c r="P24" s="82">
        <f t="shared" ca="1" si="0"/>
        <v>-4.7032005374547485E-4</v>
      </c>
      <c r="Q24" s="82">
        <f t="shared" si="4"/>
        <v>-773718750</v>
      </c>
      <c r="R24" s="82">
        <f t="shared" ca="1" si="1"/>
        <v>0.15435534343358398</v>
      </c>
      <c r="S24" s="102">
        <f ca="1">OFFSET($A24,,CHOOSE(Flexion!$A$26,COLUMN($M$9)-1,COLUMN($N$9)-1,COLUMN($P$9)-1,COLUMN($R$9)-1))</f>
        <v>-105000</v>
      </c>
    </row>
    <row r="25" spans="1:19" x14ac:dyDescent="0.2">
      <c r="A25" s="83">
        <f t="shared" si="2"/>
        <v>15</v>
      </c>
      <c r="B25" s="83">
        <f>MATCH(Tableau6[[#This Row],[x0]],Flexion!D$11:Z$11,1)</f>
        <v>1</v>
      </c>
      <c r="C25" s="83">
        <f>Tableau6[[#This Row],[N° pas]]*$A$2</f>
        <v>225</v>
      </c>
      <c r="D25" s="101">
        <f>IF($B25=$B24,Tableau6[[#This Row],[x0]],INDEX(Flexion!D$11:Z$11,$B25))</f>
        <v>225</v>
      </c>
      <c r="E25" s="83" t="str">
        <f>IF(B25=B24,"-",VALUE(INDEX(Flexion!D$10:Z$10,Tableau6[[#This Row],[Col.]])))</f>
        <v>-</v>
      </c>
      <c r="F25" s="83" t="str">
        <f>IF(E25="-","-",IF(INDEX(Flexion!D$12:Z$12,Tableau6[[#This Row],[Col.]])="","-",INDEX(Flexion!D$12:Z$12,Tableau6[[#This Row],[Col.]])))</f>
        <v>-</v>
      </c>
      <c r="G25" s="84">
        <f>IF(Tableau6[[#This Row],[Nœud]]&lt;&gt;"-",INDEX(Flexion!D$13:Z$13,Tableau6[[#This Row],[Col.]]),)</f>
        <v>0</v>
      </c>
      <c r="H25" s="83">
        <f>IF(Tableau6[[#This Row],[Appui]]&lt;&gt;"-",INDEX(Flexion!D$14:Z$14,Tableau6[[#This Row],[Col.]]),)</f>
        <v>0</v>
      </c>
      <c r="I25" s="92">
        <f>$I24+($D25-$D24)*(SUM($G$10:$G24,$H$10:$H24))</f>
        <v>-112500</v>
      </c>
      <c r="J25" s="84">
        <f>INDEX(Flexion!D$16:Z$16,Tableau6[[#This Row],[Col.]])*($D26-$D25)</f>
        <v>0</v>
      </c>
      <c r="K25" s="83">
        <f>IF(B25=B24,0,INDEX(Flexion!D$20:Z$20,Tableau6[[#This Row],[Col.]]))</f>
        <v>0</v>
      </c>
      <c r="L25" s="92">
        <f>$L24+($D25-$D24)*(SUM($J$10:$J24,$K$10:$K24)-$J24/2)</f>
        <v>0</v>
      </c>
      <c r="M25" s="84">
        <f>Tableau6[[#This Row],[Fr nod.]]+Tableau6[[#This Row],[Fr lin.]]</f>
        <v>0</v>
      </c>
      <c r="N25" s="92">
        <f>Tableau6[[#This Row],[Mt nod.]]+Tableau6[[#This Row],[Mt lin.]]</f>
        <v>-112500</v>
      </c>
      <c r="O25" s="82">
        <f t="shared" si="3"/>
        <v>-12656250</v>
      </c>
      <c r="P25" s="82">
        <f t="shared" ca="1" si="0"/>
        <v>-4.7486266026176556E-4</v>
      </c>
      <c r="Q25" s="82">
        <f t="shared" si="4"/>
        <v>-951328125</v>
      </c>
      <c r="R25" s="82">
        <f t="shared" ca="1" si="1"/>
        <v>0.14726647307852966</v>
      </c>
      <c r="S25" s="102">
        <f ca="1">OFFSET($A25,,CHOOSE(Flexion!$A$26,COLUMN($M$9)-1,COLUMN($N$9)-1,COLUMN($P$9)-1,COLUMN($R$9)-1))</f>
        <v>-112500</v>
      </c>
    </row>
    <row r="26" spans="1:19" x14ac:dyDescent="0.2">
      <c r="A26" s="83">
        <f t="shared" si="2"/>
        <v>16</v>
      </c>
      <c r="B26" s="83">
        <f>MATCH(Tableau6[[#This Row],[x0]],Flexion!D$11:Z$11,1)</f>
        <v>1</v>
      </c>
      <c r="C26" s="83">
        <f>Tableau6[[#This Row],[N° pas]]*$A$2</f>
        <v>240</v>
      </c>
      <c r="D26" s="101">
        <f>IF($B26=$B25,Tableau6[[#This Row],[x0]],INDEX(Flexion!D$11:Z$11,$B26))</f>
        <v>240</v>
      </c>
      <c r="E26" s="83" t="str">
        <f>IF(B26=B25,"-",VALUE(INDEX(Flexion!D$10:Z$10,Tableau6[[#This Row],[Col.]])))</f>
        <v>-</v>
      </c>
      <c r="F26" s="83" t="str">
        <f>IF(E26="-","-",IF(INDEX(Flexion!D$12:Z$12,Tableau6[[#This Row],[Col.]])="","-",INDEX(Flexion!D$12:Z$12,Tableau6[[#This Row],[Col.]])))</f>
        <v>-</v>
      </c>
      <c r="G26" s="84">
        <f>IF(Tableau6[[#This Row],[Nœud]]&lt;&gt;"-",INDEX(Flexion!D$13:Z$13,Tableau6[[#This Row],[Col.]]),)</f>
        <v>0</v>
      </c>
      <c r="H26" s="83">
        <f>IF(Tableau6[[#This Row],[Appui]]&lt;&gt;"-",INDEX(Flexion!D$14:Z$14,Tableau6[[#This Row],[Col.]]),)</f>
        <v>0</v>
      </c>
      <c r="I26" s="92">
        <f>$I25+($D26-$D25)*(SUM($G$10:$G25,$H$10:$H25))</f>
        <v>-120000</v>
      </c>
      <c r="J26" s="84">
        <f>INDEX(Flexion!D$16:Z$16,Tableau6[[#This Row],[Col.]])*($D27-$D26)</f>
        <v>0</v>
      </c>
      <c r="K26" s="83">
        <f>IF(B26=B25,0,INDEX(Flexion!D$20:Z$20,Tableau6[[#This Row],[Col.]]))</f>
        <v>0</v>
      </c>
      <c r="L26" s="92">
        <f>$L25+($D26-$D25)*(SUM($J$10:$J25,$K$10:$K25)-$J25/2)</f>
        <v>0</v>
      </c>
      <c r="M26" s="84">
        <f>Tableau6[[#This Row],[Fr nod.]]+Tableau6[[#This Row],[Fr lin.]]</f>
        <v>0</v>
      </c>
      <c r="N26" s="92">
        <f>Tableau6[[#This Row],[Mt nod.]]+Tableau6[[#This Row],[Mt lin.]]</f>
        <v>-120000</v>
      </c>
      <c r="O26" s="82">
        <f t="shared" si="3"/>
        <v>-14400000</v>
      </c>
      <c r="P26" s="82">
        <f t="shared" ca="1" si="0"/>
        <v>-4.7971854998607634E-4</v>
      </c>
      <c r="Q26" s="82">
        <f t="shared" si="4"/>
        <v>-1154250000</v>
      </c>
      <c r="R26" s="82">
        <f t="shared" ca="1" si="1"/>
        <v>0.14010711400167086</v>
      </c>
      <c r="S26" s="102">
        <f ca="1">OFFSET($A26,,CHOOSE(Flexion!$A$26,COLUMN($M$9)-1,COLUMN($N$9)-1,COLUMN($P$9)-1,COLUMN($R$9)-1))</f>
        <v>-120000</v>
      </c>
    </row>
    <row r="27" spans="1:19" x14ac:dyDescent="0.2">
      <c r="A27" s="83">
        <f t="shared" si="2"/>
        <v>17</v>
      </c>
      <c r="B27" s="83">
        <f>MATCH(Tableau6[[#This Row],[x0]],Flexion!D$11:Z$11,1)</f>
        <v>1</v>
      </c>
      <c r="C27" s="83">
        <f>Tableau6[[#This Row],[N° pas]]*$A$2</f>
        <v>255</v>
      </c>
      <c r="D27" s="101">
        <f>IF($B27=$B26,Tableau6[[#This Row],[x0]],INDEX(Flexion!D$11:Z$11,$B27))</f>
        <v>255</v>
      </c>
      <c r="E27" s="83" t="str">
        <f>IF(B27=B26,"-",VALUE(INDEX(Flexion!D$10:Z$10,Tableau6[[#This Row],[Col.]])))</f>
        <v>-</v>
      </c>
      <c r="F27" s="83" t="str">
        <f>IF(E27="-","-",IF(INDEX(Flexion!D$12:Z$12,Tableau6[[#This Row],[Col.]])="","-",INDEX(Flexion!D$12:Z$12,Tableau6[[#This Row],[Col.]])))</f>
        <v>-</v>
      </c>
      <c r="G27" s="84">
        <f>IF(Tableau6[[#This Row],[Nœud]]&lt;&gt;"-",INDEX(Flexion!D$13:Z$13,Tableau6[[#This Row],[Col.]]),)</f>
        <v>0</v>
      </c>
      <c r="H27" s="83">
        <f>IF(Tableau6[[#This Row],[Appui]]&lt;&gt;"-",INDEX(Flexion!D$14:Z$14,Tableau6[[#This Row],[Col.]]),)</f>
        <v>0</v>
      </c>
      <c r="I27" s="92">
        <f>$I26+($D27-$D26)*(SUM($G$10:$G26,$H$10:$H26))</f>
        <v>-127500</v>
      </c>
      <c r="J27" s="84">
        <f>INDEX(Flexion!D$16:Z$16,Tableau6[[#This Row],[Col.]])*($D28-$D27)</f>
        <v>0</v>
      </c>
      <c r="K27" s="83">
        <f>IF(B27=B26,0,INDEX(Flexion!D$20:Z$20,Tableau6[[#This Row],[Col.]]))</f>
        <v>0</v>
      </c>
      <c r="L27" s="92">
        <f>$L26+($D27-$D26)*(SUM($J$10:$J26,$K$10:$K26)-$J26/2)</f>
        <v>0</v>
      </c>
      <c r="M27" s="84">
        <f>Tableau6[[#This Row],[Fr nod.]]+Tableau6[[#This Row],[Fr lin.]]</f>
        <v>0</v>
      </c>
      <c r="N27" s="92">
        <f>Tableau6[[#This Row],[Mt nod.]]+Tableau6[[#This Row],[Mt lin.]]</f>
        <v>-127500</v>
      </c>
      <c r="O27" s="82">
        <f t="shared" si="3"/>
        <v>-16256250</v>
      </c>
      <c r="P27" s="82">
        <f t="shared" ca="1" si="0"/>
        <v>-4.8488772291840714E-4</v>
      </c>
      <c r="Q27" s="82">
        <f t="shared" si="4"/>
        <v>-1384171875</v>
      </c>
      <c r="R27" s="82">
        <f t="shared" ca="1" si="1"/>
        <v>0.13287256695488722</v>
      </c>
      <c r="S27" s="102">
        <f ca="1">OFFSET($A27,,CHOOSE(Flexion!$A$26,COLUMN($M$9)-1,COLUMN($N$9)-1,COLUMN($P$9)-1,COLUMN($R$9)-1))</f>
        <v>-127500</v>
      </c>
    </row>
    <row r="28" spans="1:19" x14ac:dyDescent="0.2">
      <c r="A28" s="83">
        <f t="shared" si="2"/>
        <v>18</v>
      </c>
      <c r="B28" s="83">
        <f>MATCH(Tableau6[[#This Row],[x0]],Flexion!D$11:Z$11,1)</f>
        <v>1</v>
      </c>
      <c r="C28" s="83">
        <f>Tableau6[[#This Row],[N° pas]]*$A$2</f>
        <v>270</v>
      </c>
      <c r="D28" s="101">
        <f>IF($B28=$B27,Tableau6[[#This Row],[x0]],INDEX(Flexion!D$11:Z$11,$B28))</f>
        <v>270</v>
      </c>
      <c r="E28" s="83" t="str">
        <f>IF(B28=B27,"-",VALUE(INDEX(Flexion!D$10:Z$10,Tableau6[[#This Row],[Col.]])))</f>
        <v>-</v>
      </c>
      <c r="F28" s="83" t="str">
        <f>IF(E28="-","-",IF(INDEX(Flexion!D$12:Z$12,Tableau6[[#This Row],[Col.]])="","-",INDEX(Flexion!D$12:Z$12,Tableau6[[#This Row],[Col.]])))</f>
        <v>-</v>
      </c>
      <c r="G28" s="84">
        <f>IF(Tableau6[[#This Row],[Nœud]]&lt;&gt;"-",INDEX(Flexion!D$13:Z$13,Tableau6[[#This Row],[Col.]]),)</f>
        <v>0</v>
      </c>
      <c r="H28" s="83">
        <f>IF(Tableau6[[#This Row],[Appui]]&lt;&gt;"-",INDEX(Flexion!D$14:Z$14,Tableau6[[#This Row],[Col.]]),)</f>
        <v>0</v>
      </c>
      <c r="I28" s="92">
        <f>$I27+($D28-$D27)*(SUM($G$10:$G27,$H$10:$H27))</f>
        <v>-135000</v>
      </c>
      <c r="J28" s="84">
        <f>INDEX(Flexion!D$16:Z$16,Tableau6[[#This Row],[Col.]])*($D29-$D28)</f>
        <v>0</v>
      </c>
      <c r="K28" s="83">
        <f>IF(B28=B27,0,INDEX(Flexion!D$20:Z$20,Tableau6[[#This Row],[Col.]]))</f>
        <v>0</v>
      </c>
      <c r="L28" s="92">
        <f>$L27+($D28-$D27)*(SUM($J$10:$J27,$K$10:$K27)-$J27/2)</f>
        <v>0</v>
      </c>
      <c r="M28" s="84">
        <f>Tableau6[[#This Row],[Fr nod.]]+Tableau6[[#This Row],[Fr lin.]]</f>
        <v>0</v>
      </c>
      <c r="N28" s="92">
        <f>Tableau6[[#This Row],[Mt nod.]]+Tableau6[[#This Row],[Mt lin.]]</f>
        <v>-135000</v>
      </c>
      <c r="O28" s="82">
        <f t="shared" si="3"/>
        <v>-18225000</v>
      </c>
      <c r="P28" s="82">
        <f t="shared" ca="1" si="0"/>
        <v>-4.9037017905875801E-4</v>
      </c>
      <c r="Q28" s="82">
        <f t="shared" si="4"/>
        <v>-1642781250</v>
      </c>
      <c r="R28" s="82">
        <f t="shared" ca="1" si="1"/>
        <v>0.1255581326900585</v>
      </c>
      <c r="S28" s="102">
        <f ca="1">OFFSET($A28,,CHOOSE(Flexion!$A$26,COLUMN($M$9)-1,COLUMN($N$9)-1,COLUMN($P$9)-1,COLUMN($R$9)-1))</f>
        <v>-135000</v>
      </c>
    </row>
    <row r="29" spans="1:19" x14ac:dyDescent="0.2">
      <c r="A29" s="83">
        <f t="shared" si="2"/>
        <v>19</v>
      </c>
      <c r="B29" s="83">
        <f>MATCH(Tableau6[[#This Row],[x0]],Flexion!D$11:Z$11,1)</f>
        <v>1</v>
      </c>
      <c r="C29" s="83">
        <f>Tableau6[[#This Row],[N° pas]]*$A$2</f>
        <v>285</v>
      </c>
      <c r="D29" s="101">
        <f>IF($B29=$B28,Tableau6[[#This Row],[x0]],INDEX(Flexion!D$11:Z$11,$B29))</f>
        <v>285</v>
      </c>
      <c r="E29" s="83" t="str">
        <f>IF(B29=B28,"-",VALUE(INDEX(Flexion!D$10:Z$10,Tableau6[[#This Row],[Col.]])))</f>
        <v>-</v>
      </c>
      <c r="F29" s="83" t="str">
        <f>IF(E29="-","-",IF(INDEX(Flexion!D$12:Z$12,Tableau6[[#This Row],[Col.]])="","-",INDEX(Flexion!D$12:Z$12,Tableau6[[#This Row],[Col.]])))</f>
        <v>-</v>
      </c>
      <c r="G29" s="84">
        <f>IF(Tableau6[[#This Row],[Nœud]]&lt;&gt;"-",INDEX(Flexion!D$13:Z$13,Tableau6[[#This Row],[Col.]]),)</f>
        <v>0</v>
      </c>
      <c r="H29" s="83">
        <f>IF(Tableau6[[#This Row],[Appui]]&lt;&gt;"-",INDEX(Flexion!D$14:Z$14,Tableau6[[#This Row],[Col.]]),)</f>
        <v>0</v>
      </c>
      <c r="I29" s="92">
        <f>$I28+($D29-$D28)*(SUM($G$10:$G28,$H$10:$H28))</f>
        <v>-142500</v>
      </c>
      <c r="J29" s="84">
        <f>INDEX(Flexion!D$16:Z$16,Tableau6[[#This Row],[Col.]])*($D30-$D29)</f>
        <v>0</v>
      </c>
      <c r="K29" s="83">
        <f>IF(B29=B28,0,INDEX(Flexion!D$20:Z$20,Tableau6[[#This Row],[Col.]]))</f>
        <v>0</v>
      </c>
      <c r="L29" s="92">
        <f>$L28+($D29-$D28)*(SUM($J$10:$J28,$K$10:$K28)-$J28/2)</f>
        <v>0</v>
      </c>
      <c r="M29" s="84">
        <f>Tableau6[[#This Row],[Fr nod.]]+Tableau6[[#This Row],[Fr lin.]]</f>
        <v>0</v>
      </c>
      <c r="N29" s="92">
        <f>Tableau6[[#This Row],[Mt nod.]]+Tableau6[[#This Row],[Mt lin.]]</f>
        <v>-142500</v>
      </c>
      <c r="O29" s="82">
        <f t="shared" si="3"/>
        <v>-20306250</v>
      </c>
      <c r="P29" s="82">
        <f t="shared" ca="1" si="0"/>
        <v>-4.9616591840712901E-4</v>
      </c>
      <c r="Q29" s="82">
        <f t="shared" si="4"/>
        <v>-1931765625</v>
      </c>
      <c r="R29" s="82">
        <f t="shared" ca="1" si="1"/>
        <v>0.11815911195906434</v>
      </c>
      <c r="S29" s="102">
        <f ca="1">OFFSET($A29,,CHOOSE(Flexion!$A$26,COLUMN($M$9)-1,COLUMN($N$9)-1,COLUMN($P$9)-1,COLUMN($R$9)-1))</f>
        <v>-142500</v>
      </c>
    </row>
    <row r="30" spans="1:19" x14ac:dyDescent="0.2">
      <c r="A30" s="83">
        <f t="shared" si="2"/>
        <v>20</v>
      </c>
      <c r="B30" s="83">
        <f>MATCH(Tableau6[[#This Row],[x0]],Flexion!D$11:Z$11,1)</f>
        <v>1</v>
      </c>
      <c r="C30" s="83">
        <f>Tableau6[[#This Row],[N° pas]]*$A$2</f>
        <v>300</v>
      </c>
      <c r="D30" s="101">
        <f>IF($B30=$B29,Tableau6[[#This Row],[x0]],INDEX(Flexion!D$11:Z$11,$B30))</f>
        <v>300</v>
      </c>
      <c r="E30" s="83" t="str">
        <f>IF(B30=B29,"-",VALUE(INDEX(Flexion!D$10:Z$10,Tableau6[[#This Row],[Col.]])))</f>
        <v>-</v>
      </c>
      <c r="F30" s="83" t="str">
        <f>IF(E30="-","-",IF(INDEX(Flexion!D$12:Z$12,Tableau6[[#This Row],[Col.]])="","-",INDEX(Flexion!D$12:Z$12,Tableau6[[#This Row],[Col.]])))</f>
        <v>-</v>
      </c>
      <c r="G30" s="84">
        <f>IF(Tableau6[[#This Row],[Nœud]]&lt;&gt;"-",INDEX(Flexion!D$13:Z$13,Tableau6[[#This Row],[Col.]]),)</f>
        <v>0</v>
      </c>
      <c r="H30" s="83">
        <f>IF(Tableau6[[#This Row],[Appui]]&lt;&gt;"-",INDEX(Flexion!D$14:Z$14,Tableau6[[#This Row],[Col.]]),)</f>
        <v>0</v>
      </c>
      <c r="I30" s="92">
        <f>$I29+($D30-$D29)*(SUM($G$10:$G29,$H$10:$H29))</f>
        <v>-150000</v>
      </c>
      <c r="J30" s="84">
        <f>INDEX(Flexion!D$16:Z$16,Tableau6[[#This Row],[Col.]])*($D31-$D30)</f>
        <v>0</v>
      </c>
      <c r="K30" s="83">
        <f>IF(B30=B29,0,INDEX(Flexion!D$20:Z$20,Tableau6[[#This Row],[Col.]]))</f>
        <v>0</v>
      </c>
      <c r="L30" s="92">
        <f>$L29+($D30-$D29)*(SUM($J$10:$J29,$K$10:$K29)-$J29/2)</f>
        <v>0</v>
      </c>
      <c r="M30" s="84">
        <f>Tableau6[[#This Row],[Fr nod.]]+Tableau6[[#This Row],[Fr lin.]]</f>
        <v>0</v>
      </c>
      <c r="N30" s="92">
        <f>Tableau6[[#This Row],[Mt nod.]]+Tableau6[[#This Row],[Mt lin.]]</f>
        <v>-150000</v>
      </c>
      <c r="O30" s="82">
        <f t="shared" si="3"/>
        <v>-22500000</v>
      </c>
      <c r="P30" s="82">
        <f t="shared" ca="1" si="0"/>
        <v>-5.0227494096351992E-4</v>
      </c>
      <c r="Q30" s="82">
        <f t="shared" si="4"/>
        <v>-2252812500</v>
      </c>
      <c r="R30" s="82">
        <f t="shared" ca="1" si="1"/>
        <v>0.11067080551378447</v>
      </c>
      <c r="S30" s="102">
        <f ca="1">OFFSET($A30,,CHOOSE(Flexion!$A$26,COLUMN($M$9)-1,COLUMN($N$9)-1,COLUMN($P$9)-1,COLUMN($R$9)-1))</f>
        <v>-150000</v>
      </c>
    </row>
    <row r="31" spans="1:19" x14ac:dyDescent="0.2">
      <c r="A31" s="83">
        <f t="shared" si="2"/>
        <v>21</v>
      </c>
      <c r="B31" s="83">
        <f>MATCH(Tableau6[[#This Row],[x0]],Flexion!D$11:Z$11,1)</f>
        <v>1</v>
      </c>
      <c r="C31" s="83">
        <f>Tableau6[[#This Row],[N° pas]]*$A$2</f>
        <v>315</v>
      </c>
      <c r="D31" s="101">
        <f>IF($B31=$B30,Tableau6[[#This Row],[x0]],INDEX(Flexion!D$11:Z$11,$B31))</f>
        <v>315</v>
      </c>
      <c r="E31" s="83" t="str">
        <f>IF(B31=B30,"-",VALUE(INDEX(Flexion!D$10:Z$10,Tableau6[[#This Row],[Col.]])))</f>
        <v>-</v>
      </c>
      <c r="F31" s="83" t="str">
        <f>IF(E31="-","-",IF(INDEX(Flexion!D$12:Z$12,Tableau6[[#This Row],[Col.]])="","-",INDEX(Flexion!D$12:Z$12,Tableau6[[#This Row],[Col.]])))</f>
        <v>-</v>
      </c>
      <c r="G31" s="84">
        <f>IF(Tableau6[[#This Row],[Nœud]]&lt;&gt;"-",INDEX(Flexion!D$13:Z$13,Tableau6[[#This Row],[Col.]]),)</f>
        <v>0</v>
      </c>
      <c r="H31" s="83">
        <f>IF(Tableau6[[#This Row],[Appui]]&lt;&gt;"-",INDEX(Flexion!D$14:Z$14,Tableau6[[#This Row],[Col.]]),)</f>
        <v>0</v>
      </c>
      <c r="I31" s="92">
        <f>$I30+($D31-$D30)*(SUM($G$10:$G30,$H$10:$H30))</f>
        <v>-157500</v>
      </c>
      <c r="J31" s="84">
        <f>INDEX(Flexion!D$16:Z$16,Tableau6[[#This Row],[Col.]])*($D32-$D31)</f>
        <v>0</v>
      </c>
      <c r="K31" s="83">
        <f>IF(B31=B30,0,INDEX(Flexion!D$20:Z$20,Tableau6[[#This Row],[Col.]]))</f>
        <v>0</v>
      </c>
      <c r="L31" s="92">
        <f>$L30+($D31-$D30)*(SUM($J$10:$J30,$K$10:$K30)-$J30/2)</f>
        <v>0</v>
      </c>
      <c r="M31" s="84">
        <f>Tableau6[[#This Row],[Fr nod.]]+Tableau6[[#This Row],[Fr lin.]]</f>
        <v>0</v>
      </c>
      <c r="N31" s="92">
        <f>Tableau6[[#This Row],[Mt nod.]]+Tableau6[[#This Row],[Mt lin.]]</f>
        <v>-157500</v>
      </c>
      <c r="O31" s="82">
        <f t="shared" si="3"/>
        <v>-24806250</v>
      </c>
      <c r="P31" s="82">
        <f t="shared" ca="1" si="0"/>
        <v>-5.0869724672793096E-4</v>
      </c>
      <c r="Q31" s="82">
        <f t="shared" si="4"/>
        <v>-2607609375</v>
      </c>
      <c r="R31" s="82">
        <f t="shared" ca="1" si="1"/>
        <v>0.10308851410609857</v>
      </c>
      <c r="S31" s="102">
        <f ca="1">OFFSET($A31,,CHOOSE(Flexion!$A$26,COLUMN($M$9)-1,COLUMN($N$9)-1,COLUMN($P$9)-1,COLUMN($R$9)-1))</f>
        <v>-157500</v>
      </c>
    </row>
    <row r="32" spans="1:19" x14ac:dyDescent="0.2">
      <c r="A32" s="83">
        <f t="shared" si="2"/>
        <v>22</v>
      </c>
      <c r="B32" s="83">
        <f>MATCH(Tableau6[[#This Row],[x0]],Flexion!D$11:Z$11,1)</f>
        <v>1</v>
      </c>
      <c r="C32" s="83">
        <f>Tableau6[[#This Row],[N° pas]]*$A$2</f>
        <v>330</v>
      </c>
      <c r="D32" s="101">
        <f>IF($B32=$B31,Tableau6[[#This Row],[x0]],INDEX(Flexion!D$11:Z$11,$B32))</f>
        <v>330</v>
      </c>
      <c r="E32" s="83" t="str">
        <f>IF(B32=B31,"-",VALUE(INDEX(Flexion!D$10:Z$10,Tableau6[[#This Row],[Col.]])))</f>
        <v>-</v>
      </c>
      <c r="F32" s="83" t="str">
        <f>IF(E32="-","-",IF(INDEX(Flexion!D$12:Z$12,Tableau6[[#This Row],[Col.]])="","-",INDEX(Flexion!D$12:Z$12,Tableau6[[#This Row],[Col.]])))</f>
        <v>-</v>
      </c>
      <c r="G32" s="84">
        <f>IF(Tableau6[[#This Row],[Nœud]]&lt;&gt;"-",INDEX(Flexion!D$13:Z$13,Tableau6[[#This Row],[Col.]]),)</f>
        <v>0</v>
      </c>
      <c r="H32" s="83">
        <f>IF(Tableau6[[#This Row],[Appui]]&lt;&gt;"-",INDEX(Flexion!D$14:Z$14,Tableau6[[#This Row],[Col.]]),)</f>
        <v>0</v>
      </c>
      <c r="I32" s="92">
        <f>$I31+($D32-$D31)*(SUM($G$10:$G31,$H$10:$H31))</f>
        <v>-165000</v>
      </c>
      <c r="J32" s="84">
        <f>INDEX(Flexion!D$16:Z$16,Tableau6[[#This Row],[Col.]])*($D33-$D32)</f>
        <v>0</v>
      </c>
      <c r="K32" s="83">
        <f>IF(B32=B31,0,INDEX(Flexion!D$20:Z$20,Tableau6[[#This Row],[Col.]]))</f>
        <v>0</v>
      </c>
      <c r="L32" s="92">
        <f>$L31+($D32-$D31)*(SUM($J$10:$J31,$K$10:$K31)-$J31/2)</f>
        <v>0</v>
      </c>
      <c r="M32" s="84">
        <f>Tableau6[[#This Row],[Fr nod.]]+Tableau6[[#This Row],[Fr lin.]]</f>
        <v>0</v>
      </c>
      <c r="N32" s="92">
        <f>Tableau6[[#This Row],[Mt nod.]]+Tableau6[[#This Row],[Mt lin.]]</f>
        <v>-165000</v>
      </c>
      <c r="O32" s="82">
        <f t="shared" si="3"/>
        <v>-27225000</v>
      </c>
      <c r="P32" s="82">
        <f t="shared" ca="1" si="0"/>
        <v>-5.1543283570036201E-4</v>
      </c>
      <c r="Q32" s="82">
        <f t="shared" si="4"/>
        <v>-2997843750</v>
      </c>
      <c r="R32" s="82">
        <f t="shared" ca="1" si="1"/>
        <v>9.5407538487886384E-2</v>
      </c>
      <c r="S32" s="102">
        <f ca="1">OFFSET($A32,,CHOOSE(Flexion!$A$26,COLUMN($M$9)-1,COLUMN($N$9)-1,COLUMN($P$9)-1,COLUMN($R$9)-1))</f>
        <v>-165000</v>
      </c>
    </row>
    <row r="33" spans="1:19" x14ac:dyDescent="0.2">
      <c r="A33" s="83">
        <f t="shared" si="2"/>
        <v>23</v>
      </c>
      <c r="B33" s="83">
        <f>MATCH(Tableau6[[#This Row],[x0]],Flexion!D$11:Z$11,1)</f>
        <v>1</v>
      </c>
      <c r="C33" s="83">
        <f>Tableau6[[#This Row],[N° pas]]*$A$2</f>
        <v>345</v>
      </c>
      <c r="D33" s="101">
        <f>IF($B33=$B32,Tableau6[[#This Row],[x0]],INDEX(Flexion!D$11:Z$11,$B33))</f>
        <v>345</v>
      </c>
      <c r="E33" s="83" t="str">
        <f>IF(B33=B32,"-",VALUE(INDEX(Flexion!D$10:Z$10,Tableau6[[#This Row],[Col.]])))</f>
        <v>-</v>
      </c>
      <c r="F33" s="83" t="str">
        <f>IF(E33="-","-",IF(INDEX(Flexion!D$12:Z$12,Tableau6[[#This Row],[Col.]])="","-",INDEX(Flexion!D$12:Z$12,Tableau6[[#This Row],[Col.]])))</f>
        <v>-</v>
      </c>
      <c r="G33" s="84">
        <f>IF(Tableau6[[#This Row],[Nœud]]&lt;&gt;"-",INDEX(Flexion!D$13:Z$13,Tableau6[[#This Row],[Col.]]),)</f>
        <v>0</v>
      </c>
      <c r="H33" s="83">
        <f>IF(Tableau6[[#This Row],[Appui]]&lt;&gt;"-",INDEX(Flexion!D$14:Z$14,Tableau6[[#This Row],[Col.]]),)</f>
        <v>0</v>
      </c>
      <c r="I33" s="92">
        <f>$I32+($D33-$D32)*(SUM($G$10:$G32,$H$10:$H32))</f>
        <v>-172500</v>
      </c>
      <c r="J33" s="84">
        <f>INDEX(Flexion!D$16:Z$16,Tableau6[[#This Row],[Col.]])*($D34-$D33)</f>
        <v>0</v>
      </c>
      <c r="K33" s="83">
        <f>IF(B33=B32,0,INDEX(Flexion!D$20:Z$20,Tableau6[[#This Row],[Col.]]))</f>
        <v>0</v>
      </c>
      <c r="L33" s="92">
        <f>$L32+($D33-$D32)*(SUM($J$10:$J32,$K$10:$K32)-$J32/2)</f>
        <v>0</v>
      </c>
      <c r="M33" s="84">
        <f>Tableau6[[#This Row],[Fr nod.]]+Tableau6[[#This Row],[Fr lin.]]</f>
        <v>0</v>
      </c>
      <c r="N33" s="92">
        <f>Tableau6[[#This Row],[Mt nod.]]+Tableau6[[#This Row],[Mt lin.]]</f>
        <v>-172500</v>
      </c>
      <c r="O33" s="82">
        <f t="shared" si="3"/>
        <v>-29756250</v>
      </c>
      <c r="P33" s="82">
        <f t="shared" ca="1" si="0"/>
        <v>-5.224817078808132E-4</v>
      </c>
      <c r="Q33" s="82">
        <f t="shared" si="4"/>
        <v>-3425203125</v>
      </c>
      <c r="R33" s="82">
        <f t="shared" ca="1" si="1"/>
        <v>8.7623179411027596E-2</v>
      </c>
      <c r="S33" s="102">
        <f ca="1">OFFSET($A33,,CHOOSE(Flexion!$A$26,COLUMN($M$9)-1,COLUMN($N$9)-1,COLUMN($P$9)-1,COLUMN($R$9)-1))</f>
        <v>-172500</v>
      </c>
    </row>
    <row r="34" spans="1:19" x14ac:dyDescent="0.2">
      <c r="A34" s="83">
        <f t="shared" si="2"/>
        <v>24</v>
      </c>
      <c r="B34" s="83">
        <f>MATCH(Tableau6[[#This Row],[x0]],Flexion!D$11:Z$11,1)</f>
        <v>1</v>
      </c>
      <c r="C34" s="83">
        <f>Tableau6[[#This Row],[N° pas]]*$A$2</f>
        <v>360</v>
      </c>
      <c r="D34" s="101">
        <f>IF($B34=$B33,Tableau6[[#This Row],[x0]],INDEX(Flexion!D$11:Z$11,$B34))</f>
        <v>360</v>
      </c>
      <c r="E34" s="83" t="str">
        <f>IF(B34=B33,"-",VALUE(INDEX(Flexion!D$10:Z$10,Tableau6[[#This Row],[Col.]])))</f>
        <v>-</v>
      </c>
      <c r="F34" s="83" t="str">
        <f>IF(E34="-","-",IF(INDEX(Flexion!D$12:Z$12,Tableau6[[#This Row],[Col.]])="","-",INDEX(Flexion!D$12:Z$12,Tableau6[[#This Row],[Col.]])))</f>
        <v>-</v>
      </c>
      <c r="G34" s="84">
        <f>IF(Tableau6[[#This Row],[Nœud]]&lt;&gt;"-",INDEX(Flexion!D$13:Z$13,Tableau6[[#This Row],[Col.]]),)</f>
        <v>0</v>
      </c>
      <c r="H34" s="83">
        <f>IF(Tableau6[[#This Row],[Appui]]&lt;&gt;"-",INDEX(Flexion!D$14:Z$14,Tableau6[[#This Row],[Col.]]),)</f>
        <v>0</v>
      </c>
      <c r="I34" s="92">
        <f>$I33+($D34-$D33)*(SUM($G$10:$G33,$H$10:$H33))</f>
        <v>-180000</v>
      </c>
      <c r="J34" s="84">
        <f>INDEX(Flexion!D$16:Z$16,Tableau6[[#This Row],[Col.]])*($D35-$D34)</f>
        <v>0</v>
      </c>
      <c r="K34" s="83">
        <f>IF(B34=B33,0,INDEX(Flexion!D$20:Z$20,Tableau6[[#This Row],[Col.]]))</f>
        <v>0</v>
      </c>
      <c r="L34" s="92">
        <f>$L33+($D34-$D33)*(SUM($J$10:$J33,$K$10:$K33)-$J33/2)</f>
        <v>0</v>
      </c>
      <c r="M34" s="84">
        <f>Tableau6[[#This Row],[Fr nod.]]+Tableau6[[#This Row],[Fr lin.]]</f>
        <v>0</v>
      </c>
      <c r="N34" s="92">
        <f>Tableau6[[#This Row],[Mt nod.]]+Tableau6[[#This Row],[Mt lin.]]</f>
        <v>-180000</v>
      </c>
      <c r="O34" s="82">
        <f t="shared" si="3"/>
        <v>-32400000</v>
      </c>
      <c r="P34" s="82">
        <f t="shared" ca="1" si="0"/>
        <v>-5.2984386326928429E-4</v>
      </c>
      <c r="Q34" s="82">
        <f t="shared" si="4"/>
        <v>-3891375000</v>
      </c>
      <c r="R34" s="82">
        <f t="shared" ca="1" si="1"/>
        <v>7.9730737627401849E-2</v>
      </c>
      <c r="S34" s="102">
        <f ca="1">OFFSET($A34,,CHOOSE(Flexion!$A$26,COLUMN($M$9)-1,COLUMN($N$9)-1,COLUMN($P$9)-1,COLUMN($R$9)-1))</f>
        <v>-180000</v>
      </c>
    </row>
    <row r="35" spans="1:19" x14ac:dyDescent="0.2">
      <c r="A35" s="83">
        <f t="shared" si="2"/>
        <v>25</v>
      </c>
      <c r="B35" s="83">
        <f>MATCH(Tableau6[[#This Row],[x0]],Flexion!D$11:Z$11,1)</f>
        <v>1</v>
      </c>
      <c r="C35" s="83">
        <f>Tableau6[[#This Row],[N° pas]]*$A$2</f>
        <v>375</v>
      </c>
      <c r="D35" s="101">
        <f>IF($B35=$B34,Tableau6[[#This Row],[x0]],INDEX(Flexion!D$11:Z$11,$B35))</f>
        <v>375</v>
      </c>
      <c r="E35" s="83" t="str">
        <f>IF(B35=B34,"-",VALUE(INDEX(Flexion!D$10:Z$10,Tableau6[[#This Row],[Col.]])))</f>
        <v>-</v>
      </c>
      <c r="F35" s="83" t="str">
        <f>IF(E35="-","-",IF(INDEX(Flexion!D$12:Z$12,Tableau6[[#This Row],[Col.]])="","-",INDEX(Flexion!D$12:Z$12,Tableau6[[#This Row],[Col.]])))</f>
        <v>-</v>
      </c>
      <c r="G35" s="84">
        <f>IF(Tableau6[[#This Row],[Nœud]]&lt;&gt;"-",INDEX(Flexion!D$13:Z$13,Tableau6[[#This Row],[Col.]]),)</f>
        <v>0</v>
      </c>
      <c r="H35" s="83">
        <f>IF(Tableau6[[#This Row],[Appui]]&lt;&gt;"-",INDEX(Flexion!D$14:Z$14,Tableau6[[#This Row],[Col.]]),)</f>
        <v>0</v>
      </c>
      <c r="I35" s="92">
        <f>$I34+($D35-$D34)*(SUM($G$10:$G34,$H$10:$H34))</f>
        <v>-187500</v>
      </c>
      <c r="J35" s="84">
        <f>INDEX(Flexion!D$16:Z$16,Tableau6[[#This Row],[Col.]])*($D36-$D35)</f>
        <v>0</v>
      </c>
      <c r="K35" s="83">
        <f>IF(B35=B34,0,INDEX(Flexion!D$20:Z$20,Tableau6[[#This Row],[Col.]]))</f>
        <v>0</v>
      </c>
      <c r="L35" s="92">
        <f>$L34+($D35-$D34)*(SUM($J$10:$J34,$K$10:$K34)-$J34/2)</f>
        <v>0</v>
      </c>
      <c r="M35" s="84">
        <f>Tableau6[[#This Row],[Fr nod.]]+Tableau6[[#This Row],[Fr lin.]]</f>
        <v>0</v>
      </c>
      <c r="N35" s="92">
        <f>Tableau6[[#This Row],[Mt nod.]]+Tableau6[[#This Row],[Mt lin.]]</f>
        <v>-187500</v>
      </c>
      <c r="O35" s="82">
        <f t="shared" si="3"/>
        <v>-35156250</v>
      </c>
      <c r="P35" s="82">
        <f t="shared" ca="1" si="0"/>
        <v>-5.3751930186577562E-4</v>
      </c>
      <c r="Q35" s="82">
        <f t="shared" si="4"/>
        <v>-4398046875</v>
      </c>
      <c r="R35" s="82">
        <f t="shared" ca="1" si="1"/>
        <v>7.1725513888888898E-2</v>
      </c>
      <c r="S35" s="102">
        <f ca="1">OFFSET($A35,,CHOOSE(Flexion!$A$26,COLUMN($M$9)-1,COLUMN($N$9)-1,COLUMN($P$9)-1,COLUMN($R$9)-1))</f>
        <v>-187500</v>
      </c>
    </row>
    <row r="36" spans="1:19" x14ac:dyDescent="0.2">
      <c r="A36" s="83">
        <f t="shared" si="2"/>
        <v>26</v>
      </c>
      <c r="B36" s="83">
        <f>MATCH(Tableau6[[#This Row],[x0]],Flexion!D$11:Z$11,1)</f>
        <v>1</v>
      </c>
      <c r="C36" s="83">
        <f>Tableau6[[#This Row],[N° pas]]*$A$2</f>
        <v>390</v>
      </c>
      <c r="D36" s="101">
        <f>IF($B36=$B35,Tableau6[[#This Row],[x0]],INDEX(Flexion!D$11:Z$11,$B36))</f>
        <v>390</v>
      </c>
      <c r="E36" s="83" t="str">
        <f>IF(B36=B35,"-",VALUE(INDEX(Flexion!D$10:Z$10,Tableau6[[#This Row],[Col.]])))</f>
        <v>-</v>
      </c>
      <c r="F36" s="83" t="str">
        <f>IF(E36="-","-",IF(INDEX(Flexion!D$12:Z$12,Tableau6[[#This Row],[Col.]])="","-",INDEX(Flexion!D$12:Z$12,Tableau6[[#This Row],[Col.]])))</f>
        <v>-</v>
      </c>
      <c r="G36" s="84">
        <f>IF(Tableau6[[#This Row],[Nœud]]&lt;&gt;"-",INDEX(Flexion!D$13:Z$13,Tableau6[[#This Row],[Col.]]),)</f>
        <v>0</v>
      </c>
      <c r="H36" s="83">
        <f>IF(Tableau6[[#This Row],[Appui]]&lt;&gt;"-",INDEX(Flexion!D$14:Z$14,Tableau6[[#This Row],[Col.]]),)</f>
        <v>0</v>
      </c>
      <c r="I36" s="92">
        <f>$I35+($D36-$D35)*(SUM($G$10:$G35,$H$10:$H35))</f>
        <v>-195000</v>
      </c>
      <c r="J36" s="84">
        <f>INDEX(Flexion!D$16:Z$16,Tableau6[[#This Row],[Col.]])*($D37-$D36)</f>
        <v>0</v>
      </c>
      <c r="K36" s="83">
        <f>IF(B36=B35,0,INDEX(Flexion!D$20:Z$20,Tableau6[[#This Row],[Col.]]))</f>
        <v>0</v>
      </c>
      <c r="L36" s="92">
        <f>$L35+($D36-$D35)*(SUM($J$10:$J35,$K$10:$K35)-$J35/2)</f>
        <v>0</v>
      </c>
      <c r="M36" s="84">
        <f>Tableau6[[#This Row],[Fr nod.]]+Tableau6[[#This Row],[Fr lin.]]</f>
        <v>0</v>
      </c>
      <c r="N36" s="92">
        <f>Tableau6[[#This Row],[Mt nod.]]+Tableau6[[#This Row],[Mt lin.]]</f>
        <v>-195000</v>
      </c>
      <c r="O36" s="82">
        <f t="shared" si="3"/>
        <v>-38025000</v>
      </c>
      <c r="P36" s="82">
        <f t="shared" ca="1" si="0"/>
        <v>-5.4550802367028686E-4</v>
      </c>
      <c r="Q36" s="82">
        <f t="shared" si="4"/>
        <v>-4946906250</v>
      </c>
      <c r="R36" s="82">
        <f t="shared" ca="1" si="1"/>
        <v>6.3602808947368417E-2</v>
      </c>
      <c r="S36" s="102">
        <f ca="1">OFFSET($A36,,CHOOSE(Flexion!$A$26,COLUMN($M$9)-1,COLUMN($N$9)-1,COLUMN($P$9)-1,COLUMN($R$9)-1))</f>
        <v>-195000</v>
      </c>
    </row>
    <row r="37" spans="1:19" x14ac:dyDescent="0.2">
      <c r="A37" s="83">
        <f t="shared" si="2"/>
        <v>27</v>
      </c>
      <c r="B37" s="83">
        <f>MATCH(Tableau6[[#This Row],[x0]],Flexion!D$11:Z$11,1)</f>
        <v>1</v>
      </c>
      <c r="C37" s="83">
        <f>Tableau6[[#This Row],[N° pas]]*$A$2</f>
        <v>405</v>
      </c>
      <c r="D37" s="101">
        <f>IF($B37=$B36,Tableau6[[#This Row],[x0]],INDEX(Flexion!D$11:Z$11,$B37))</f>
        <v>405</v>
      </c>
      <c r="E37" s="83" t="str">
        <f>IF(B37=B36,"-",VALUE(INDEX(Flexion!D$10:Z$10,Tableau6[[#This Row],[Col.]])))</f>
        <v>-</v>
      </c>
      <c r="F37" s="83" t="str">
        <f>IF(E37="-","-",IF(INDEX(Flexion!D$12:Z$12,Tableau6[[#This Row],[Col.]])="","-",INDEX(Flexion!D$12:Z$12,Tableau6[[#This Row],[Col.]])))</f>
        <v>-</v>
      </c>
      <c r="G37" s="84">
        <f>IF(Tableau6[[#This Row],[Nœud]]&lt;&gt;"-",INDEX(Flexion!D$13:Z$13,Tableau6[[#This Row],[Col.]]),)</f>
        <v>0</v>
      </c>
      <c r="H37" s="83">
        <f>IF(Tableau6[[#This Row],[Appui]]&lt;&gt;"-",INDEX(Flexion!D$14:Z$14,Tableau6[[#This Row],[Col.]]),)</f>
        <v>0</v>
      </c>
      <c r="I37" s="92">
        <f>$I36+($D37-$D36)*(SUM($G$10:$G36,$H$10:$H36))</f>
        <v>-202500</v>
      </c>
      <c r="J37" s="84">
        <f>INDEX(Flexion!D$16:Z$16,Tableau6[[#This Row],[Col.]])*($D38-$D37)</f>
        <v>0</v>
      </c>
      <c r="K37" s="83">
        <f>IF(B37=B36,0,INDEX(Flexion!D$20:Z$20,Tableau6[[#This Row],[Col.]]))</f>
        <v>0</v>
      </c>
      <c r="L37" s="92">
        <f>$L36+($D37-$D36)*(SUM($J$10:$J36,$K$10:$K36)-$J36/2)</f>
        <v>0</v>
      </c>
      <c r="M37" s="84">
        <f>Tableau6[[#This Row],[Fr nod.]]+Tableau6[[#This Row],[Fr lin.]]</f>
        <v>0</v>
      </c>
      <c r="N37" s="92">
        <f>Tableau6[[#This Row],[Mt nod.]]+Tableau6[[#This Row],[Mt lin.]]</f>
        <v>-202500</v>
      </c>
      <c r="O37" s="82">
        <f t="shared" si="3"/>
        <v>-41006250</v>
      </c>
      <c r="P37" s="82">
        <f t="shared" ca="1" si="0"/>
        <v>-5.5381002868281823E-4</v>
      </c>
      <c r="Q37" s="82">
        <f t="shared" si="4"/>
        <v>-5539640625</v>
      </c>
      <c r="R37" s="82">
        <f t="shared" ca="1" si="1"/>
        <v>5.5357923554720134E-2</v>
      </c>
      <c r="S37" s="102">
        <f ca="1">OFFSET($A37,,CHOOSE(Flexion!$A$26,COLUMN($M$9)-1,COLUMN($N$9)-1,COLUMN($P$9)-1,COLUMN($R$9)-1))</f>
        <v>-202500</v>
      </c>
    </row>
    <row r="38" spans="1:19" x14ac:dyDescent="0.2">
      <c r="A38" s="83">
        <f t="shared" si="2"/>
        <v>28</v>
      </c>
      <c r="B38" s="83">
        <f>MATCH(Tableau6[[#This Row],[x0]],Flexion!D$11:Z$11,1)</f>
        <v>1</v>
      </c>
      <c r="C38" s="83">
        <f>Tableau6[[#This Row],[N° pas]]*$A$2</f>
        <v>420</v>
      </c>
      <c r="D38" s="101">
        <f>IF($B38=$B37,Tableau6[[#This Row],[x0]],INDEX(Flexion!D$11:Z$11,$B38))</f>
        <v>420</v>
      </c>
      <c r="E38" s="83" t="str">
        <f>IF(B38=B37,"-",VALUE(INDEX(Flexion!D$10:Z$10,Tableau6[[#This Row],[Col.]])))</f>
        <v>-</v>
      </c>
      <c r="F38" s="83" t="str">
        <f>IF(E38="-","-",IF(INDEX(Flexion!D$12:Z$12,Tableau6[[#This Row],[Col.]])="","-",INDEX(Flexion!D$12:Z$12,Tableau6[[#This Row],[Col.]])))</f>
        <v>-</v>
      </c>
      <c r="G38" s="84">
        <f>IF(Tableau6[[#This Row],[Nœud]]&lt;&gt;"-",INDEX(Flexion!D$13:Z$13,Tableau6[[#This Row],[Col.]]),)</f>
        <v>0</v>
      </c>
      <c r="H38" s="83">
        <f>IF(Tableau6[[#This Row],[Appui]]&lt;&gt;"-",INDEX(Flexion!D$14:Z$14,Tableau6[[#This Row],[Col.]]),)</f>
        <v>0</v>
      </c>
      <c r="I38" s="92">
        <f>$I37+($D38-$D37)*(SUM($G$10:$G37,$H$10:$H37))</f>
        <v>-210000</v>
      </c>
      <c r="J38" s="84">
        <f>INDEX(Flexion!D$16:Z$16,Tableau6[[#This Row],[Col.]])*($D39-$D38)</f>
        <v>0</v>
      </c>
      <c r="K38" s="83">
        <f>IF(B38=B37,0,INDEX(Flexion!D$20:Z$20,Tableau6[[#This Row],[Col.]]))</f>
        <v>0</v>
      </c>
      <c r="L38" s="92">
        <f>$L37+($D38-$D37)*(SUM($J$10:$J37,$K$10:$K37)-$J37/2)</f>
        <v>0</v>
      </c>
      <c r="M38" s="84">
        <f>Tableau6[[#This Row],[Fr nod.]]+Tableau6[[#This Row],[Fr lin.]]</f>
        <v>0</v>
      </c>
      <c r="N38" s="92">
        <f>Tableau6[[#This Row],[Mt nod.]]+Tableau6[[#This Row],[Mt lin.]]</f>
        <v>-210000</v>
      </c>
      <c r="O38" s="82">
        <f t="shared" si="3"/>
        <v>-44100000</v>
      </c>
      <c r="P38" s="82">
        <f t="shared" ca="1" si="0"/>
        <v>-5.6242531690336951E-4</v>
      </c>
      <c r="Q38" s="82">
        <f t="shared" si="4"/>
        <v>-6177937500</v>
      </c>
      <c r="R38" s="82">
        <f t="shared" ca="1" si="1"/>
        <v>4.6986158462823724E-2</v>
      </c>
      <c r="S38" s="102">
        <f ca="1">OFFSET($A38,,CHOOSE(Flexion!$A$26,COLUMN($M$9)-1,COLUMN($N$9)-1,COLUMN($P$9)-1,COLUMN($R$9)-1))</f>
        <v>-210000</v>
      </c>
    </row>
    <row r="39" spans="1:19" x14ac:dyDescent="0.2">
      <c r="A39" s="83">
        <f t="shared" si="2"/>
        <v>29</v>
      </c>
      <c r="B39" s="83">
        <f>MATCH(Tableau6[[#This Row],[x0]],Flexion!D$11:Z$11,1)</f>
        <v>1</v>
      </c>
      <c r="C39" s="83">
        <f>Tableau6[[#This Row],[N° pas]]*$A$2</f>
        <v>435</v>
      </c>
      <c r="D39" s="101">
        <f>IF($B39=$B38,Tableau6[[#This Row],[x0]],INDEX(Flexion!D$11:Z$11,$B39))</f>
        <v>435</v>
      </c>
      <c r="E39" s="83" t="str">
        <f>IF(B39=B38,"-",VALUE(INDEX(Flexion!D$10:Z$10,Tableau6[[#This Row],[Col.]])))</f>
        <v>-</v>
      </c>
      <c r="F39" s="83" t="str">
        <f>IF(E39="-","-",IF(INDEX(Flexion!D$12:Z$12,Tableau6[[#This Row],[Col.]])="","-",INDEX(Flexion!D$12:Z$12,Tableau6[[#This Row],[Col.]])))</f>
        <v>-</v>
      </c>
      <c r="G39" s="84">
        <f>IF(Tableau6[[#This Row],[Nœud]]&lt;&gt;"-",INDEX(Flexion!D$13:Z$13,Tableau6[[#This Row],[Col.]]),)</f>
        <v>0</v>
      </c>
      <c r="H39" s="83">
        <f>IF(Tableau6[[#This Row],[Appui]]&lt;&gt;"-",INDEX(Flexion!D$14:Z$14,Tableau6[[#This Row],[Col.]]),)</f>
        <v>0</v>
      </c>
      <c r="I39" s="92">
        <f>$I38+($D39-$D38)*(SUM($G$10:$G38,$H$10:$H38))</f>
        <v>-217500</v>
      </c>
      <c r="J39" s="84">
        <f>INDEX(Flexion!D$16:Z$16,Tableau6[[#This Row],[Col.]])*($D40-$D39)</f>
        <v>0</v>
      </c>
      <c r="K39" s="83">
        <f>IF(B39=B38,0,INDEX(Flexion!D$20:Z$20,Tableau6[[#This Row],[Col.]]))</f>
        <v>0</v>
      </c>
      <c r="L39" s="92">
        <f>$L38+($D39-$D38)*(SUM($J$10:$J38,$K$10:$K38)-$J38/2)</f>
        <v>0</v>
      </c>
      <c r="M39" s="84">
        <f>Tableau6[[#This Row],[Fr nod.]]+Tableau6[[#This Row],[Fr lin.]]</f>
        <v>0</v>
      </c>
      <c r="N39" s="92">
        <f>Tableau6[[#This Row],[Mt nod.]]+Tableau6[[#This Row],[Mt lin.]]</f>
        <v>-217500</v>
      </c>
      <c r="O39" s="82">
        <f t="shared" si="3"/>
        <v>-47306250</v>
      </c>
      <c r="P39" s="82">
        <f t="shared" ca="1" si="0"/>
        <v>-5.7135388833194102E-4</v>
      </c>
      <c r="Q39" s="82">
        <f t="shared" si="4"/>
        <v>-6863484375</v>
      </c>
      <c r="R39" s="82">
        <f t="shared" ca="1" si="1"/>
        <v>3.8482814423558914E-2</v>
      </c>
      <c r="S39" s="102">
        <f ca="1">OFFSET($A39,,CHOOSE(Flexion!$A$26,COLUMN($M$9)-1,COLUMN($N$9)-1,COLUMN($P$9)-1,COLUMN($R$9)-1))</f>
        <v>-217500</v>
      </c>
    </row>
    <row r="40" spans="1:19" x14ac:dyDescent="0.2">
      <c r="A40" s="83">
        <f t="shared" si="2"/>
        <v>30</v>
      </c>
      <c r="B40" s="83">
        <f>MATCH(Tableau6[[#This Row],[x0]],Flexion!D$11:Z$11,1)</f>
        <v>1</v>
      </c>
      <c r="C40" s="83">
        <f>Tableau6[[#This Row],[N° pas]]*$A$2</f>
        <v>450</v>
      </c>
      <c r="D40" s="101">
        <f>IF($B40=$B39,Tableau6[[#This Row],[x0]],INDEX(Flexion!D$11:Z$11,$B40))</f>
        <v>450</v>
      </c>
      <c r="E40" s="83" t="str">
        <f>IF(B40=B39,"-",VALUE(INDEX(Flexion!D$10:Z$10,Tableau6[[#This Row],[Col.]])))</f>
        <v>-</v>
      </c>
      <c r="F40" s="83" t="str">
        <f>IF(E40="-","-",IF(INDEX(Flexion!D$12:Z$12,Tableau6[[#This Row],[Col.]])="","-",INDEX(Flexion!D$12:Z$12,Tableau6[[#This Row],[Col.]])))</f>
        <v>-</v>
      </c>
      <c r="G40" s="84">
        <f>IF(Tableau6[[#This Row],[Nœud]]&lt;&gt;"-",INDEX(Flexion!D$13:Z$13,Tableau6[[#This Row],[Col.]]),)</f>
        <v>0</v>
      </c>
      <c r="H40" s="83">
        <f>IF(Tableau6[[#This Row],[Appui]]&lt;&gt;"-",INDEX(Flexion!D$14:Z$14,Tableau6[[#This Row],[Col.]]),)</f>
        <v>0</v>
      </c>
      <c r="I40" s="92">
        <f>$I39+($D40-$D39)*(SUM($G$10:$G39,$H$10:$H39))</f>
        <v>-225000</v>
      </c>
      <c r="J40" s="84">
        <f>INDEX(Flexion!D$16:Z$16,Tableau6[[#This Row],[Col.]])*($D41-$D40)</f>
        <v>0</v>
      </c>
      <c r="K40" s="83">
        <f>IF(B40=B39,0,INDEX(Flexion!D$20:Z$20,Tableau6[[#This Row],[Col.]]))</f>
        <v>0</v>
      </c>
      <c r="L40" s="92">
        <f>$L39+($D40-$D39)*(SUM($J$10:$J39,$K$10:$K39)-$J39/2)</f>
        <v>0</v>
      </c>
      <c r="M40" s="84">
        <f>Tableau6[[#This Row],[Fr nod.]]+Tableau6[[#This Row],[Fr lin.]]</f>
        <v>0</v>
      </c>
      <c r="N40" s="92">
        <f>Tableau6[[#This Row],[Mt nod.]]+Tableau6[[#This Row],[Mt lin.]]</f>
        <v>-225000</v>
      </c>
      <c r="O40" s="82">
        <f t="shared" si="3"/>
        <v>-50625000</v>
      </c>
      <c r="P40" s="82">
        <f t="shared" ca="1" si="0"/>
        <v>-5.8059574296853245E-4</v>
      </c>
      <c r="Q40" s="82">
        <f t="shared" si="4"/>
        <v>-7597968750</v>
      </c>
      <c r="R40" s="82">
        <f t="shared" ca="1" si="1"/>
        <v>2.9843192188805351E-2</v>
      </c>
      <c r="S40" s="102">
        <f ca="1">OFFSET($A40,,CHOOSE(Flexion!$A$26,COLUMN($M$9)-1,COLUMN($N$9)-1,COLUMN($P$9)-1,COLUMN($R$9)-1))</f>
        <v>-225000</v>
      </c>
    </row>
    <row r="41" spans="1:19" x14ac:dyDescent="0.2">
      <c r="A41" s="83">
        <f t="shared" si="2"/>
        <v>31</v>
      </c>
      <c r="B41" s="83">
        <f>MATCH(Tableau6[[#This Row],[x0]],Flexion!D$11:Z$11,1)</f>
        <v>1</v>
      </c>
      <c r="C41" s="83">
        <f>Tableau6[[#This Row],[N° pas]]*$A$2</f>
        <v>465</v>
      </c>
      <c r="D41" s="101">
        <f>IF($B41=$B40,Tableau6[[#This Row],[x0]],INDEX(Flexion!D$11:Z$11,$B41))</f>
        <v>465</v>
      </c>
      <c r="E41" s="83" t="str">
        <f>IF(B41=B40,"-",VALUE(INDEX(Flexion!D$10:Z$10,Tableau6[[#This Row],[Col.]])))</f>
        <v>-</v>
      </c>
      <c r="F41" s="83" t="str">
        <f>IF(E41="-","-",IF(INDEX(Flexion!D$12:Z$12,Tableau6[[#This Row],[Col.]])="","-",INDEX(Flexion!D$12:Z$12,Tableau6[[#This Row],[Col.]])))</f>
        <v>-</v>
      </c>
      <c r="G41" s="84">
        <f>IF(Tableau6[[#This Row],[Nœud]]&lt;&gt;"-",INDEX(Flexion!D$13:Z$13,Tableau6[[#This Row],[Col.]]),)</f>
        <v>0</v>
      </c>
      <c r="H41" s="83">
        <f>IF(Tableau6[[#This Row],[Appui]]&lt;&gt;"-",INDEX(Flexion!D$14:Z$14,Tableau6[[#This Row],[Col.]]),)</f>
        <v>0</v>
      </c>
      <c r="I41" s="92">
        <f>$I40+($D41-$D40)*(SUM($G$10:$G40,$H$10:$H40))</f>
        <v>-232500</v>
      </c>
      <c r="J41" s="84">
        <f>INDEX(Flexion!D$16:Z$16,Tableau6[[#This Row],[Col.]])*($D42-$D41)</f>
        <v>0</v>
      </c>
      <c r="K41" s="83">
        <f>IF(B41=B40,0,INDEX(Flexion!D$20:Z$20,Tableau6[[#This Row],[Col.]]))</f>
        <v>0</v>
      </c>
      <c r="L41" s="92">
        <f>$L40+($D41-$D40)*(SUM($J$10:$J40,$K$10:$K40)-$J40/2)</f>
        <v>0</v>
      </c>
      <c r="M41" s="84">
        <f>Tableau6[[#This Row],[Fr nod.]]+Tableau6[[#This Row],[Fr lin.]]</f>
        <v>0</v>
      </c>
      <c r="N41" s="92">
        <f>Tableau6[[#This Row],[Mt nod.]]+Tableau6[[#This Row],[Mt lin.]]</f>
        <v>-232500</v>
      </c>
      <c r="O41" s="82">
        <f t="shared" si="3"/>
        <v>-54056250</v>
      </c>
      <c r="P41" s="82">
        <f t="shared" ca="1" si="0"/>
        <v>-5.90150880813144E-4</v>
      </c>
      <c r="Q41" s="82">
        <f t="shared" si="4"/>
        <v>-8383078125</v>
      </c>
      <c r="R41" s="82">
        <f t="shared" ca="1" si="1"/>
        <v>2.1062592510442762E-2</v>
      </c>
      <c r="S41" s="102">
        <f ca="1">OFFSET($A41,,CHOOSE(Flexion!$A$26,COLUMN($M$9)-1,COLUMN($N$9)-1,COLUMN($P$9)-1,COLUMN($R$9)-1))</f>
        <v>-232500</v>
      </c>
    </row>
    <row r="42" spans="1:19" x14ac:dyDescent="0.2">
      <c r="A42" s="83">
        <f t="shared" si="2"/>
        <v>32</v>
      </c>
      <c r="B42" s="83">
        <f>MATCH(Tableau6[[#This Row],[x0]],Flexion!D$11:Z$11,1)</f>
        <v>1</v>
      </c>
      <c r="C42" s="83">
        <f>Tableau6[[#This Row],[N° pas]]*$A$2</f>
        <v>480</v>
      </c>
      <c r="D42" s="101">
        <f>IF($B42=$B41,Tableau6[[#This Row],[x0]],INDEX(Flexion!D$11:Z$11,$B42))</f>
        <v>480</v>
      </c>
      <c r="E42" s="83" t="str">
        <f>IF(B42=B41,"-",VALUE(INDEX(Flexion!D$10:Z$10,Tableau6[[#This Row],[Col.]])))</f>
        <v>-</v>
      </c>
      <c r="F42" s="83" t="str">
        <f>IF(E42="-","-",IF(INDEX(Flexion!D$12:Z$12,Tableau6[[#This Row],[Col.]])="","-",INDEX(Flexion!D$12:Z$12,Tableau6[[#This Row],[Col.]])))</f>
        <v>-</v>
      </c>
      <c r="G42" s="84">
        <f>IF(Tableau6[[#This Row],[Nœud]]&lt;&gt;"-",INDEX(Flexion!D$13:Z$13,Tableau6[[#This Row],[Col.]]),)</f>
        <v>0</v>
      </c>
      <c r="H42" s="83">
        <f>IF(Tableau6[[#This Row],[Appui]]&lt;&gt;"-",INDEX(Flexion!D$14:Z$14,Tableau6[[#This Row],[Col.]]),)</f>
        <v>0</v>
      </c>
      <c r="I42" s="92">
        <f>$I41+($D42-$D41)*(SUM($G$10:$G41,$H$10:$H41))</f>
        <v>-240000</v>
      </c>
      <c r="J42" s="84">
        <f>INDEX(Flexion!D$16:Z$16,Tableau6[[#This Row],[Col.]])*($D43-$D42)</f>
        <v>0</v>
      </c>
      <c r="K42" s="83">
        <f>IF(B42=B41,0,INDEX(Flexion!D$20:Z$20,Tableau6[[#This Row],[Col.]]))</f>
        <v>0</v>
      </c>
      <c r="L42" s="92">
        <f>$L41+($D42-$D41)*(SUM($J$10:$J41,$K$10:$K41)-$J41/2)</f>
        <v>0</v>
      </c>
      <c r="M42" s="84">
        <f>Tableau6[[#This Row],[Fr nod.]]+Tableau6[[#This Row],[Fr lin.]]</f>
        <v>0</v>
      </c>
      <c r="N42" s="92">
        <f>Tableau6[[#This Row],[Mt nod.]]+Tableau6[[#This Row],[Mt lin.]]</f>
        <v>-240000</v>
      </c>
      <c r="O42" s="82">
        <f t="shared" si="3"/>
        <v>-57600000</v>
      </c>
      <c r="P42" s="82">
        <f t="shared" ca="1" si="0"/>
        <v>-6.0001930186577557E-4</v>
      </c>
      <c r="Q42" s="82">
        <f t="shared" si="4"/>
        <v>-9220500000</v>
      </c>
      <c r="R42" s="82">
        <f t="shared" ca="1" si="1"/>
        <v>1.2136316140350878E-2</v>
      </c>
      <c r="S42" s="102">
        <f ca="1">OFFSET($A42,,CHOOSE(Flexion!$A$26,COLUMN($M$9)-1,COLUMN($N$9)-1,COLUMN($P$9)-1,COLUMN($R$9)-1))</f>
        <v>-240000</v>
      </c>
    </row>
    <row r="43" spans="1:19" x14ac:dyDescent="0.2">
      <c r="A43" s="83">
        <f t="shared" si="2"/>
        <v>33</v>
      </c>
      <c r="B43" s="83">
        <f>MATCH(Tableau6[[#This Row],[x0]],Flexion!D$11:Z$11,1)</f>
        <v>1</v>
      </c>
      <c r="C43" s="83">
        <f>Tableau6[[#This Row],[N° pas]]*$A$2</f>
        <v>495</v>
      </c>
      <c r="D43" s="101">
        <f>IF($B43=$B42,Tableau6[[#This Row],[x0]],INDEX(Flexion!D$11:Z$11,$B43))</f>
        <v>495</v>
      </c>
      <c r="E43" s="83" t="str">
        <f>IF(B43=B42,"-",VALUE(INDEX(Flexion!D$10:Z$10,Tableau6[[#This Row],[Col.]])))</f>
        <v>-</v>
      </c>
      <c r="F43" s="83" t="str">
        <f>IF(E43="-","-",IF(INDEX(Flexion!D$12:Z$12,Tableau6[[#This Row],[Col.]])="","-",INDEX(Flexion!D$12:Z$12,Tableau6[[#This Row],[Col.]])))</f>
        <v>-</v>
      </c>
      <c r="G43" s="84">
        <f>IF(Tableau6[[#This Row],[Nœud]]&lt;&gt;"-",INDEX(Flexion!D$13:Z$13,Tableau6[[#This Row],[Col.]]),)</f>
        <v>0</v>
      </c>
      <c r="H43" s="83">
        <f>IF(Tableau6[[#This Row],[Appui]]&lt;&gt;"-",INDEX(Flexion!D$14:Z$14,Tableau6[[#This Row],[Col.]]),)</f>
        <v>0</v>
      </c>
      <c r="I43" s="92">
        <f>$I42+($D43-$D42)*(SUM($G$10:$G42,$H$10:$H42))</f>
        <v>-247500</v>
      </c>
      <c r="J43" s="84">
        <f>INDEX(Flexion!D$16:Z$16,Tableau6[[#This Row],[Col.]])*($D44-$D43)</f>
        <v>0</v>
      </c>
      <c r="K43" s="83">
        <f>IF(B43=B42,0,INDEX(Flexion!D$20:Z$20,Tableau6[[#This Row],[Col.]]))</f>
        <v>0</v>
      </c>
      <c r="L43" s="92">
        <f>$L42+($D43-$D42)*(SUM($J$10:$J42,$K$10:$K42)-$J42/2)</f>
        <v>0</v>
      </c>
      <c r="M43" s="84">
        <f>Tableau6[[#This Row],[Fr nod.]]+Tableau6[[#This Row],[Fr lin.]]</f>
        <v>0</v>
      </c>
      <c r="N43" s="92">
        <f>Tableau6[[#This Row],[Mt nod.]]+Tableau6[[#This Row],[Mt lin.]]</f>
        <v>-247500</v>
      </c>
      <c r="O43" s="82">
        <f t="shared" ref="O43:O74" si="5">(D43-D42)*(N43+N42)/2+O42</f>
        <v>-61256250</v>
      </c>
      <c r="P43" s="82">
        <f t="shared" ca="1" si="0"/>
        <v>-6.1020100612642716E-4</v>
      </c>
      <c r="Q43" s="82">
        <f t="shared" ref="Q43:Q74" si="6">Q42+((D43-D42)*(O43+O42)/2)</f>
        <v>-10111921875</v>
      </c>
      <c r="R43" s="82">
        <f t="shared" ca="1" si="1"/>
        <v>3.0596638304093704E-3</v>
      </c>
      <c r="S43" s="102">
        <f ca="1">OFFSET($A43,,CHOOSE(Flexion!$A$26,COLUMN($M$9)-1,COLUMN($N$9)-1,COLUMN($P$9)-1,COLUMN($R$9)-1))</f>
        <v>-247500</v>
      </c>
    </row>
    <row r="44" spans="1:19" x14ac:dyDescent="0.2">
      <c r="A44" s="83">
        <f t="shared" si="2"/>
        <v>34</v>
      </c>
      <c r="B44" s="83">
        <f>MATCH(Tableau6[[#This Row],[x0]],Flexion!D$11:Z$11,1)</f>
        <v>2</v>
      </c>
      <c r="C44" s="83">
        <f>Tableau6[[#This Row],[N° pas]]*$A$2</f>
        <v>510</v>
      </c>
      <c r="D44" s="101">
        <f>IF($B44=$B43,Tableau6[[#This Row],[x0]],INDEX(Flexion!D$11:Z$11,$B44))</f>
        <v>500</v>
      </c>
      <c r="E44" s="83">
        <f>IF(B44=B43,"-",VALUE(INDEX(Flexion!D$10:Z$10,Tableau6[[#This Row],[Col.]])))</f>
        <v>2</v>
      </c>
      <c r="F44" s="83" t="str">
        <f>IF(E44="-","-",IF(INDEX(Flexion!D$12:Z$12,Tableau6[[#This Row],[Col.]])="","-",INDEX(Flexion!D$12:Z$12,Tableau6[[#This Row],[Col.]])))</f>
        <v>ROTULE</v>
      </c>
      <c r="G44" s="84">
        <f>IF(Tableau6[[#This Row],[Nœud]]&lt;&gt;"-",INDEX(Flexion!D$13:Z$13,Tableau6[[#This Row],[Col.]]),)</f>
        <v>0</v>
      </c>
      <c r="H44" s="83">
        <f>IF(Tableau6[[#This Row],[Appui]]&lt;&gt;"-",INDEX(Flexion!D$14:Z$14,Tableau6[[#This Row],[Col.]]),)</f>
        <v>625</v>
      </c>
      <c r="I44" s="92">
        <f>$I43+($D44-$D43)*(SUM($G$10:$G43,$H$10:$H43))</f>
        <v>-250000</v>
      </c>
      <c r="J44" s="84">
        <f>INDEX(Flexion!D$16:Z$16,Tableau6[[#This Row],[Col.]])*($D45-$D44)</f>
        <v>-50</v>
      </c>
      <c r="K44" s="83">
        <f>IF(B44=B43,0,INDEX(Flexion!D$20:Z$20,Tableau6[[#This Row],[Col.]]))</f>
        <v>1555</v>
      </c>
      <c r="L44" s="92">
        <f>$L43+($D44-$D43)*(SUM($J$10:$J43,$K$10:$K43)-$J43/2)</f>
        <v>0</v>
      </c>
      <c r="M44" s="84">
        <f>Tableau6[[#This Row],[Fr nod.]]+Tableau6[[#This Row],[Fr lin.]]</f>
        <v>2180</v>
      </c>
      <c r="N44" s="92">
        <f>Tableau6[[#This Row],[Mt nod.]]+Tableau6[[#This Row],[Mt lin.]]</f>
        <v>-250000</v>
      </c>
      <c r="O44" s="82">
        <f t="shared" si="5"/>
        <v>-62500000</v>
      </c>
      <c r="P44" s="82">
        <f t="shared" ca="1" si="0"/>
        <v>-6.1366452603731558E-4</v>
      </c>
      <c r="Q44" s="82">
        <f t="shared" si="6"/>
        <v>-10421312500</v>
      </c>
      <c r="R44" s="82">
        <f t="shared" ca="1" si="1"/>
        <v>0</v>
      </c>
      <c r="S44" s="102">
        <f ca="1">OFFSET($A44,,CHOOSE(Flexion!$A$26,COLUMN($M$9)-1,COLUMN($N$9)-1,COLUMN($P$9)-1,COLUMN($R$9)-1))</f>
        <v>-250000</v>
      </c>
    </row>
    <row r="45" spans="1:19" x14ac:dyDescent="0.2">
      <c r="A45" s="83">
        <f t="shared" si="2"/>
        <v>35</v>
      </c>
      <c r="B45" s="83">
        <f>MATCH(Tableau6[[#This Row],[x0]],Flexion!D$11:Z$11,1)</f>
        <v>2</v>
      </c>
      <c r="C45" s="83">
        <f>Tableau6[[#This Row],[N° pas]]*$A$2</f>
        <v>525</v>
      </c>
      <c r="D45" s="101">
        <f>IF($B45=$B44,Tableau6[[#This Row],[x0]],INDEX(Flexion!D$11:Z$11,$B45))</f>
        <v>525</v>
      </c>
      <c r="E45" s="83" t="str">
        <f>IF(B45=B44,"-",VALUE(INDEX(Flexion!D$10:Z$10,Tableau6[[#This Row],[Col.]])))</f>
        <v>-</v>
      </c>
      <c r="F45" s="83" t="str">
        <f>IF(E45="-","-",IF(INDEX(Flexion!D$12:Z$12,Tableau6[[#This Row],[Col.]])="","-",INDEX(Flexion!D$12:Z$12,Tableau6[[#This Row],[Col.]])))</f>
        <v>-</v>
      </c>
      <c r="G45" s="84">
        <f>IF(Tableau6[[#This Row],[Nœud]]&lt;&gt;"-",INDEX(Flexion!D$13:Z$13,Tableau6[[#This Row],[Col.]]),)</f>
        <v>0</v>
      </c>
      <c r="H45" s="83">
        <f>IF(Tableau6[[#This Row],[Appui]]&lt;&gt;"-",INDEX(Flexion!D$14:Z$14,Tableau6[[#This Row],[Col.]]),)</f>
        <v>0</v>
      </c>
      <c r="I45" s="92">
        <f>$I44+($D45-$D44)*(SUM($G$10:$G44,$H$10:$H44))</f>
        <v>-246875</v>
      </c>
      <c r="J45" s="84">
        <f>INDEX(Flexion!D$16:Z$16,Tableau6[[#This Row],[Col.]])*($D46-$D45)</f>
        <v>-30</v>
      </c>
      <c r="K45" s="83">
        <f>IF(B45=B44,0,INDEX(Flexion!D$20:Z$20,Tableau6[[#This Row],[Col.]]))</f>
        <v>0</v>
      </c>
      <c r="L45" s="92">
        <f>$L44+($D45-$D44)*(SUM($J$10:$J44,$K$10:$K44)-$J44/2)</f>
        <v>38250</v>
      </c>
      <c r="M45" s="84">
        <f>Tableau6[[#This Row],[Fr nod.]]+Tableau6[[#This Row],[Fr lin.]]</f>
        <v>0</v>
      </c>
      <c r="N45" s="92">
        <f>Tableau6[[#This Row],[Mt nod.]]+Tableau6[[#This Row],[Mt lin.]]</f>
        <v>-208625</v>
      </c>
      <c r="O45" s="82">
        <f t="shared" si="5"/>
        <v>-68232812.5</v>
      </c>
      <c r="P45" s="82">
        <f t="shared" ca="1" si="0"/>
        <v>-6.2962891617933728E-4</v>
      </c>
      <c r="Q45" s="82">
        <f t="shared" si="6"/>
        <v>-12055472656.25</v>
      </c>
      <c r="R45" s="82">
        <f t="shared" ca="1" si="1"/>
        <v>-1.5541168027708163E-2</v>
      </c>
      <c r="S45" s="102">
        <f ca="1">OFFSET($A45,,CHOOSE(Flexion!$A$26,COLUMN($M$9)-1,COLUMN($N$9)-1,COLUMN($P$9)-1,COLUMN($R$9)-1))</f>
        <v>-208625</v>
      </c>
    </row>
    <row r="46" spans="1:19" x14ac:dyDescent="0.2">
      <c r="A46" s="83">
        <f t="shared" si="2"/>
        <v>36</v>
      </c>
      <c r="B46" s="83">
        <f>MATCH(Tableau6[[#This Row],[x0]],Flexion!D$11:Z$11,1)</f>
        <v>2</v>
      </c>
      <c r="C46" s="83">
        <f>Tableau6[[#This Row],[N° pas]]*$A$2</f>
        <v>540</v>
      </c>
      <c r="D46" s="101">
        <f>IF($B46=$B45,Tableau6[[#This Row],[x0]],INDEX(Flexion!D$11:Z$11,$B46))</f>
        <v>540</v>
      </c>
      <c r="E46" s="83" t="str">
        <f>IF(B46=B45,"-",VALUE(INDEX(Flexion!D$10:Z$10,Tableau6[[#This Row],[Col.]])))</f>
        <v>-</v>
      </c>
      <c r="F46" s="83" t="str">
        <f>IF(E46="-","-",IF(INDEX(Flexion!D$12:Z$12,Tableau6[[#This Row],[Col.]])="","-",INDEX(Flexion!D$12:Z$12,Tableau6[[#This Row],[Col.]])))</f>
        <v>-</v>
      </c>
      <c r="G46" s="84">
        <f>IF(Tableau6[[#This Row],[Nœud]]&lt;&gt;"-",INDEX(Flexion!D$13:Z$13,Tableau6[[#This Row],[Col.]]),)</f>
        <v>0</v>
      </c>
      <c r="H46" s="83">
        <f>IF(Tableau6[[#This Row],[Appui]]&lt;&gt;"-",INDEX(Flexion!D$14:Z$14,Tableau6[[#This Row],[Col.]]),)</f>
        <v>0</v>
      </c>
      <c r="I46" s="92">
        <f>$I45+($D46-$D45)*(SUM($G$10:$G45,$H$10:$H45))</f>
        <v>-245000</v>
      </c>
      <c r="J46" s="84">
        <f>INDEX(Flexion!D$16:Z$16,Tableau6[[#This Row],[Col.]])*($D47-$D46)</f>
        <v>-30</v>
      </c>
      <c r="K46" s="83">
        <f>IF(B46=B45,0,INDEX(Flexion!D$20:Z$20,Tableau6[[#This Row],[Col.]]))</f>
        <v>0</v>
      </c>
      <c r="L46" s="92">
        <f>$L45+($D46-$D45)*(SUM($J$10:$J45,$K$10:$K45)-$J45/2)</f>
        <v>60600</v>
      </c>
      <c r="M46" s="84">
        <f>Tableau6[[#This Row],[Fr nod.]]+Tableau6[[#This Row],[Fr lin.]]</f>
        <v>0</v>
      </c>
      <c r="N46" s="92">
        <f>Tableau6[[#This Row],[Mt nod.]]+Tableau6[[#This Row],[Mt lin.]]</f>
        <v>-184400</v>
      </c>
      <c r="O46" s="82">
        <f t="shared" si="5"/>
        <v>-71180500</v>
      </c>
      <c r="P46" s="82">
        <f t="shared" ca="1" si="0"/>
        <v>-6.3783745836814263E-4</v>
      </c>
      <c r="Q46" s="82">
        <f t="shared" si="6"/>
        <v>-13101072500</v>
      </c>
      <c r="R46" s="82">
        <f t="shared" ca="1" si="1"/>
        <v>-2.5047165836814267E-2</v>
      </c>
      <c r="S46" s="102">
        <f ca="1">OFFSET($A46,,CHOOSE(Flexion!$A$26,COLUMN($M$9)-1,COLUMN($N$9)-1,COLUMN($P$9)-1,COLUMN($R$9)-1))</f>
        <v>-184400</v>
      </c>
    </row>
    <row r="47" spans="1:19" x14ac:dyDescent="0.2">
      <c r="A47" s="83">
        <f t="shared" si="2"/>
        <v>37</v>
      </c>
      <c r="B47" s="83">
        <f>MATCH(Tableau6[[#This Row],[x0]],Flexion!D$11:Z$11,1)</f>
        <v>2</v>
      </c>
      <c r="C47" s="83">
        <f>Tableau6[[#This Row],[N° pas]]*$A$2</f>
        <v>555</v>
      </c>
      <c r="D47" s="101">
        <f>IF($B47=$B46,Tableau6[[#This Row],[x0]],INDEX(Flexion!D$11:Z$11,$B47))</f>
        <v>555</v>
      </c>
      <c r="E47" s="83" t="str">
        <f>IF(B47=B46,"-",VALUE(INDEX(Flexion!D$10:Z$10,Tableau6[[#This Row],[Col.]])))</f>
        <v>-</v>
      </c>
      <c r="F47" s="83" t="str">
        <f>IF(E47="-","-",IF(INDEX(Flexion!D$12:Z$12,Tableau6[[#This Row],[Col.]])="","-",INDEX(Flexion!D$12:Z$12,Tableau6[[#This Row],[Col.]])))</f>
        <v>-</v>
      </c>
      <c r="G47" s="84">
        <f>IF(Tableau6[[#This Row],[Nœud]]&lt;&gt;"-",INDEX(Flexion!D$13:Z$13,Tableau6[[#This Row],[Col.]]),)</f>
        <v>0</v>
      </c>
      <c r="H47" s="83">
        <f>IF(Tableau6[[#This Row],[Appui]]&lt;&gt;"-",INDEX(Flexion!D$14:Z$14,Tableau6[[#This Row],[Col.]]),)</f>
        <v>0</v>
      </c>
      <c r="I47" s="92">
        <f>$I46+($D47-$D46)*(SUM($G$10:$G46,$H$10:$H46))</f>
        <v>-243125</v>
      </c>
      <c r="J47" s="84">
        <f>INDEX(Flexion!D$16:Z$16,Tableau6[[#This Row],[Col.]])*($D48-$D47)</f>
        <v>-30</v>
      </c>
      <c r="K47" s="83">
        <f>IF(B47=B46,0,INDEX(Flexion!D$20:Z$20,Tableau6[[#This Row],[Col.]]))</f>
        <v>0</v>
      </c>
      <c r="L47" s="92">
        <f>$L46+($D47-$D46)*(SUM($J$10:$J46,$K$10:$K46)-$J46/2)</f>
        <v>82500</v>
      </c>
      <c r="M47" s="84">
        <f>Tableau6[[#This Row],[Fr nod.]]+Tableau6[[#This Row],[Fr lin.]]</f>
        <v>0</v>
      </c>
      <c r="N47" s="92">
        <f>Tableau6[[#This Row],[Mt nod.]]+Tableau6[[#This Row],[Mt lin.]]</f>
        <v>-160625</v>
      </c>
      <c r="O47" s="82">
        <f t="shared" si="5"/>
        <v>-73768187.5</v>
      </c>
      <c r="P47" s="82">
        <f t="shared" ca="1" si="0"/>
        <v>-6.4504349429128378E-4</v>
      </c>
      <c r="Q47" s="82">
        <f t="shared" si="6"/>
        <v>-14188187656.25</v>
      </c>
      <c r="R47" s="82">
        <f t="shared" ca="1" si="1"/>
        <v>-3.4668772981759965E-2</v>
      </c>
      <c r="S47" s="102">
        <f ca="1">OFFSET($A47,,CHOOSE(Flexion!$A$26,COLUMN($M$9)-1,COLUMN($N$9)-1,COLUMN($P$9)-1,COLUMN($R$9)-1))</f>
        <v>-160625</v>
      </c>
    </row>
    <row r="48" spans="1:19" x14ac:dyDescent="0.2">
      <c r="A48" s="83">
        <f t="shared" si="2"/>
        <v>38</v>
      </c>
      <c r="B48" s="83">
        <f>MATCH(Tableau6[[#This Row],[x0]],Flexion!D$11:Z$11,1)</f>
        <v>2</v>
      </c>
      <c r="C48" s="83">
        <f>Tableau6[[#This Row],[N° pas]]*$A$2</f>
        <v>570</v>
      </c>
      <c r="D48" s="101">
        <f>IF($B48=$B47,Tableau6[[#This Row],[x0]],INDEX(Flexion!D$11:Z$11,$B48))</f>
        <v>570</v>
      </c>
      <c r="E48" s="83" t="str">
        <f>IF(B48=B47,"-",VALUE(INDEX(Flexion!D$10:Z$10,Tableau6[[#This Row],[Col.]])))</f>
        <v>-</v>
      </c>
      <c r="F48" s="83" t="str">
        <f>IF(E48="-","-",IF(INDEX(Flexion!D$12:Z$12,Tableau6[[#This Row],[Col.]])="","-",INDEX(Flexion!D$12:Z$12,Tableau6[[#This Row],[Col.]])))</f>
        <v>-</v>
      </c>
      <c r="G48" s="84">
        <f>IF(Tableau6[[#This Row],[Nœud]]&lt;&gt;"-",INDEX(Flexion!D$13:Z$13,Tableau6[[#This Row],[Col.]]),)</f>
        <v>0</v>
      </c>
      <c r="H48" s="83">
        <f>IF(Tableau6[[#This Row],[Appui]]&lt;&gt;"-",INDEX(Flexion!D$14:Z$14,Tableau6[[#This Row],[Col.]]),)</f>
        <v>0</v>
      </c>
      <c r="I48" s="92">
        <f>$I47+($D48-$D47)*(SUM($G$10:$G47,$H$10:$H47))</f>
        <v>-241250</v>
      </c>
      <c r="J48" s="84">
        <f>INDEX(Flexion!D$16:Z$16,Tableau6[[#This Row],[Col.]])*($D49-$D48)</f>
        <v>-30</v>
      </c>
      <c r="K48" s="83">
        <f>IF(B48=B47,0,INDEX(Flexion!D$20:Z$20,Tableau6[[#This Row],[Col.]]))</f>
        <v>0</v>
      </c>
      <c r="L48" s="92">
        <f>$L47+($D48-$D47)*(SUM($J$10:$J47,$K$10:$K47)-$J47/2)</f>
        <v>103950</v>
      </c>
      <c r="M48" s="84">
        <f>Tableau6[[#This Row],[Fr nod.]]+Tableau6[[#This Row],[Fr lin.]]</f>
        <v>0</v>
      </c>
      <c r="N48" s="92">
        <f>Tableau6[[#This Row],[Mt nod.]]+Tableau6[[#This Row],[Mt lin.]]</f>
        <v>-137300</v>
      </c>
      <c r="O48" s="82">
        <f t="shared" si="5"/>
        <v>-76002625</v>
      </c>
      <c r="P48" s="82">
        <f t="shared" ca="1" si="0"/>
        <v>-6.5126582094124201E-4</v>
      </c>
      <c r="Q48" s="82">
        <f t="shared" si="6"/>
        <v>-15311468750</v>
      </c>
      <c r="R48" s="82">
        <f t="shared" ca="1" si="1"/>
        <v>-4.4391092846003899E-2</v>
      </c>
      <c r="S48" s="102">
        <f ca="1">OFFSET($A48,,CHOOSE(Flexion!$A$26,COLUMN($M$9)-1,COLUMN($N$9)-1,COLUMN($P$9)-1,COLUMN($R$9)-1))</f>
        <v>-137300</v>
      </c>
    </row>
    <row r="49" spans="1:19" x14ac:dyDescent="0.2">
      <c r="A49" s="83">
        <f t="shared" si="2"/>
        <v>39</v>
      </c>
      <c r="B49" s="83">
        <f>MATCH(Tableau6[[#This Row],[x0]],Flexion!D$11:Z$11,1)</f>
        <v>2</v>
      </c>
      <c r="C49" s="83">
        <f>Tableau6[[#This Row],[N° pas]]*$A$2</f>
        <v>585</v>
      </c>
      <c r="D49" s="101">
        <f>IF($B49=$B48,Tableau6[[#This Row],[x0]],INDEX(Flexion!D$11:Z$11,$B49))</f>
        <v>585</v>
      </c>
      <c r="E49" s="83" t="str">
        <f>IF(B49=B48,"-",VALUE(INDEX(Flexion!D$10:Z$10,Tableau6[[#This Row],[Col.]])))</f>
        <v>-</v>
      </c>
      <c r="F49" s="83" t="str">
        <f>IF(E49="-","-",IF(INDEX(Flexion!D$12:Z$12,Tableau6[[#This Row],[Col.]])="","-",INDEX(Flexion!D$12:Z$12,Tableau6[[#This Row],[Col.]])))</f>
        <v>-</v>
      </c>
      <c r="G49" s="84">
        <f>IF(Tableau6[[#This Row],[Nœud]]&lt;&gt;"-",INDEX(Flexion!D$13:Z$13,Tableau6[[#This Row],[Col.]]),)</f>
        <v>0</v>
      </c>
      <c r="H49" s="83">
        <f>IF(Tableau6[[#This Row],[Appui]]&lt;&gt;"-",INDEX(Flexion!D$14:Z$14,Tableau6[[#This Row],[Col.]]),)</f>
        <v>0</v>
      </c>
      <c r="I49" s="92">
        <f>$I48+($D49-$D48)*(SUM($G$10:$G48,$H$10:$H48))</f>
        <v>-239375</v>
      </c>
      <c r="J49" s="84">
        <f>INDEX(Flexion!D$16:Z$16,Tableau6[[#This Row],[Col.]])*($D50-$D49)</f>
        <v>-30</v>
      </c>
      <c r="K49" s="83">
        <f>IF(B49=B48,0,INDEX(Flexion!D$20:Z$20,Tableau6[[#This Row],[Col.]]))</f>
        <v>0</v>
      </c>
      <c r="L49" s="92">
        <f>$L48+($D49-$D48)*(SUM($J$10:$J48,$K$10:$K48)-$J48/2)</f>
        <v>124950</v>
      </c>
      <c r="M49" s="84">
        <f>Tableau6[[#This Row],[Fr nod.]]+Tableau6[[#This Row],[Fr lin.]]</f>
        <v>0</v>
      </c>
      <c r="N49" s="92">
        <f>Tableau6[[#This Row],[Mt nod.]]+Tableau6[[#This Row],[Mt lin.]]</f>
        <v>-114425</v>
      </c>
      <c r="O49" s="82">
        <f t="shared" si="5"/>
        <v>-77890562.5</v>
      </c>
      <c r="P49" s="82">
        <f t="shared" ca="1" si="0"/>
        <v>-6.5652323531049852E-4</v>
      </c>
      <c r="Q49" s="82">
        <f t="shared" si="6"/>
        <v>-16465667656.25</v>
      </c>
      <c r="R49" s="82">
        <f t="shared" ca="1" si="1"/>
        <v>-5.4199510767891979E-2</v>
      </c>
      <c r="S49" s="102">
        <f ca="1">OFFSET($A49,,CHOOSE(Flexion!$A$26,COLUMN($M$9)-1,COLUMN($N$9)-1,COLUMN($P$9)-1,COLUMN($R$9)-1))</f>
        <v>-114425</v>
      </c>
    </row>
    <row r="50" spans="1:19" x14ac:dyDescent="0.2">
      <c r="A50" s="83">
        <f t="shared" si="2"/>
        <v>40</v>
      </c>
      <c r="B50" s="83">
        <f>MATCH(Tableau6[[#This Row],[x0]],Flexion!D$11:Z$11,1)</f>
        <v>2</v>
      </c>
      <c r="C50" s="83">
        <f>Tableau6[[#This Row],[N° pas]]*$A$2</f>
        <v>600</v>
      </c>
      <c r="D50" s="101">
        <f>IF($B50=$B49,Tableau6[[#This Row],[x0]],INDEX(Flexion!D$11:Z$11,$B50))</f>
        <v>600</v>
      </c>
      <c r="E50" s="83" t="str">
        <f>IF(B50=B49,"-",VALUE(INDEX(Flexion!D$10:Z$10,Tableau6[[#This Row],[Col.]])))</f>
        <v>-</v>
      </c>
      <c r="F50" s="83" t="str">
        <f>IF(E50="-","-",IF(INDEX(Flexion!D$12:Z$12,Tableau6[[#This Row],[Col.]])="","-",INDEX(Flexion!D$12:Z$12,Tableau6[[#This Row],[Col.]])))</f>
        <v>-</v>
      </c>
      <c r="G50" s="84">
        <f>IF(Tableau6[[#This Row],[Nœud]]&lt;&gt;"-",INDEX(Flexion!D$13:Z$13,Tableau6[[#This Row],[Col.]]),)</f>
        <v>0</v>
      </c>
      <c r="H50" s="83">
        <f>IF(Tableau6[[#This Row],[Appui]]&lt;&gt;"-",INDEX(Flexion!D$14:Z$14,Tableau6[[#This Row],[Col.]]),)</f>
        <v>0</v>
      </c>
      <c r="I50" s="92">
        <f>$I49+($D50-$D49)*(SUM($G$10:$G49,$H$10:$H49))</f>
        <v>-237500</v>
      </c>
      <c r="J50" s="84">
        <f>INDEX(Flexion!D$16:Z$16,Tableau6[[#This Row],[Col.]])*($D51-$D50)</f>
        <v>-30</v>
      </c>
      <c r="K50" s="83">
        <f>IF(B50=B49,0,INDEX(Flexion!D$20:Z$20,Tableau6[[#This Row],[Col.]]))</f>
        <v>0</v>
      </c>
      <c r="L50" s="92">
        <f>$L49+($D50-$D49)*(SUM($J$10:$J49,$K$10:$K49)-$J49/2)</f>
        <v>145500</v>
      </c>
      <c r="M50" s="84">
        <f>Tableau6[[#This Row],[Fr nod.]]+Tableau6[[#This Row],[Fr lin.]]</f>
        <v>0</v>
      </c>
      <c r="N50" s="92">
        <f>Tableau6[[#This Row],[Mt nod.]]+Tableau6[[#This Row],[Mt lin.]]</f>
        <v>-92000</v>
      </c>
      <c r="O50" s="82">
        <f t="shared" si="5"/>
        <v>-79438750</v>
      </c>
      <c r="P50" s="82">
        <f t="shared" ca="1" si="0"/>
        <v>-6.608345343915344E-4</v>
      </c>
      <c r="Q50" s="82">
        <f t="shared" si="6"/>
        <v>-17645637500</v>
      </c>
      <c r="R50" s="82">
        <f t="shared" ca="1" si="1"/>
        <v>-6.407969404065722E-2</v>
      </c>
      <c r="S50" s="102">
        <f ca="1">OFFSET($A50,,CHOOSE(Flexion!$A$26,COLUMN($M$9)-1,COLUMN($N$9)-1,COLUMN($P$9)-1,COLUMN($R$9)-1))</f>
        <v>-92000</v>
      </c>
    </row>
    <row r="51" spans="1:19" x14ac:dyDescent="0.2">
      <c r="A51" s="83">
        <f t="shared" si="2"/>
        <v>41</v>
      </c>
      <c r="B51" s="83">
        <f>MATCH(Tableau6[[#This Row],[x0]],Flexion!D$11:Z$11,1)</f>
        <v>2</v>
      </c>
      <c r="C51" s="83">
        <f>Tableau6[[#This Row],[N° pas]]*$A$2</f>
        <v>615</v>
      </c>
      <c r="D51" s="101">
        <f>IF($B51=$B50,Tableau6[[#This Row],[x0]],INDEX(Flexion!D$11:Z$11,$B51))</f>
        <v>615</v>
      </c>
      <c r="E51" s="83" t="str">
        <f>IF(B51=B50,"-",VALUE(INDEX(Flexion!D$10:Z$10,Tableau6[[#This Row],[Col.]])))</f>
        <v>-</v>
      </c>
      <c r="F51" s="83" t="str">
        <f>IF(E51="-","-",IF(INDEX(Flexion!D$12:Z$12,Tableau6[[#This Row],[Col.]])="","-",INDEX(Flexion!D$12:Z$12,Tableau6[[#This Row],[Col.]])))</f>
        <v>-</v>
      </c>
      <c r="G51" s="84">
        <f>IF(Tableau6[[#This Row],[Nœud]]&lt;&gt;"-",INDEX(Flexion!D$13:Z$13,Tableau6[[#This Row],[Col.]]),)</f>
        <v>0</v>
      </c>
      <c r="H51" s="83">
        <f>IF(Tableau6[[#This Row],[Appui]]&lt;&gt;"-",INDEX(Flexion!D$14:Z$14,Tableau6[[#This Row],[Col.]]),)</f>
        <v>0</v>
      </c>
      <c r="I51" s="92">
        <f>$I50+($D51-$D50)*(SUM($G$10:$G50,$H$10:$H50))</f>
        <v>-235625</v>
      </c>
      <c r="J51" s="84">
        <f>INDEX(Flexion!D$16:Z$16,Tableau6[[#This Row],[Col.]])*($D52-$D51)</f>
        <v>-30</v>
      </c>
      <c r="K51" s="83">
        <f>IF(B51=B50,0,INDEX(Flexion!D$20:Z$20,Tableau6[[#This Row],[Col.]]))</f>
        <v>0</v>
      </c>
      <c r="L51" s="92">
        <f>$L50+($D51-$D50)*(SUM($J$10:$J50,$K$10:$K50)-$J50/2)</f>
        <v>165600</v>
      </c>
      <c r="M51" s="84">
        <f>Tableau6[[#This Row],[Fr nod.]]+Tableau6[[#This Row],[Fr lin.]]</f>
        <v>0</v>
      </c>
      <c r="N51" s="92">
        <f>Tableau6[[#This Row],[Mt nod.]]+Tableau6[[#This Row],[Mt lin.]]</f>
        <v>-70025</v>
      </c>
      <c r="O51" s="82">
        <f t="shared" si="5"/>
        <v>-80653937.5</v>
      </c>
      <c r="P51" s="82">
        <f t="shared" ca="1" si="0"/>
        <v>-6.6421851517683094E-4</v>
      </c>
      <c r="Q51" s="82">
        <f t="shared" si="6"/>
        <v>-18846332656.25</v>
      </c>
      <c r="R51" s="82">
        <f t="shared" ca="1" si="1"/>
        <v>-7.4017591912419911E-2</v>
      </c>
      <c r="S51" s="102">
        <f ca="1">OFFSET($A51,,CHOOSE(Flexion!$A$26,COLUMN($M$9)-1,COLUMN($N$9)-1,COLUMN($P$9)-1,COLUMN($R$9)-1))</f>
        <v>-70025</v>
      </c>
    </row>
    <row r="52" spans="1:19" x14ac:dyDescent="0.2">
      <c r="A52" s="83">
        <f t="shared" si="2"/>
        <v>42</v>
      </c>
      <c r="B52" s="83">
        <f>MATCH(Tableau6[[#This Row],[x0]],Flexion!D$11:Z$11,1)</f>
        <v>2</v>
      </c>
      <c r="C52" s="83">
        <f>Tableau6[[#This Row],[N° pas]]*$A$2</f>
        <v>630</v>
      </c>
      <c r="D52" s="101">
        <f>IF($B52=$B51,Tableau6[[#This Row],[x0]],INDEX(Flexion!D$11:Z$11,$B52))</f>
        <v>630</v>
      </c>
      <c r="E52" s="83" t="str">
        <f>IF(B52=B51,"-",VALUE(INDEX(Flexion!D$10:Z$10,Tableau6[[#This Row],[Col.]])))</f>
        <v>-</v>
      </c>
      <c r="F52" s="83" t="str">
        <f>IF(E52="-","-",IF(INDEX(Flexion!D$12:Z$12,Tableau6[[#This Row],[Col.]])="","-",INDEX(Flexion!D$12:Z$12,Tableau6[[#This Row],[Col.]])))</f>
        <v>-</v>
      </c>
      <c r="G52" s="84">
        <f>IF(Tableau6[[#This Row],[Nœud]]&lt;&gt;"-",INDEX(Flexion!D$13:Z$13,Tableau6[[#This Row],[Col.]]),)</f>
        <v>0</v>
      </c>
      <c r="H52" s="83">
        <f>IF(Tableau6[[#This Row],[Appui]]&lt;&gt;"-",INDEX(Flexion!D$14:Z$14,Tableau6[[#This Row],[Col.]]),)</f>
        <v>0</v>
      </c>
      <c r="I52" s="92">
        <f>$I51+($D52-$D51)*(SUM($G$10:$G51,$H$10:$H51))</f>
        <v>-233750</v>
      </c>
      <c r="J52" s="84">
        <f>INDEX(Flexion!D$16:Z$16,Tableau6[[#This Row],[Col.]])*($D53-$D52)</f>
        <v>-30</v>
      </c>
      <c r="K52" s="83">
        <f>IF(B52=B51,0,INDEX(Flexion!D$20:Z$20,Tableau6[[#This Row],[Col.]]))</f>
        <v>0</v>
      </c>
      <c r="L52" s="92">
        <f>$L51+($D52-$D51)*(SUM($J$10:$J51,$K$10:$K51)-$J51/2)</f>
        <v>185250</v>
      </c>
      <c r="M52" s="84">
        <f>Tableau6[[#This Row],[Fr nod.]]+Tableau6[[#This Row],[Fr lin.]]</f>
        <v>0</v>
      </c>
      <c r="N52" s="92">
        <f>Tableau6[[#This Row],[Mt nod.]]+Tableau6[[#This Row],[Mt lin.]]</f>
        <v>-48500</v>
      </c>
      <c r="O52" s="82">
        <f t="shared" si="5"/>
        <v>-81542875</v>
      </c>
      <c r="P52" s="82">
        <f t="shared" ca="1" si="0"/>
        <v>-6.6669397465886945E-4</v>
      </c>
      <c r="Q52" s="82">
        <f t="shared" si="6"/>
        <v>-20062808750</v>
      </c>
      <c r="R52" s="82">
        <f t="shared" ca="1" si="1"/>
        <v>-8.3999435586187721E-2</v>
      </c>
      <c r="S52" s="102">
        <f ca="1">OFFSET($A52,,CHOOSE(Flexion!$A$26,COLUMN($M$9)-1,COLUMN($N$9)-1,COLUMN($P$9)-1,COLUMN($R$9)-1))</f>
        <v>-48500</v>
      </c>
    </row>
    <row r="53" spans="1:19" x14ac:dyDescent="0.2">
      <c r="A53" s="83">
        <f t="shared" si="2"/>
        <v>43</v>
      </c>
      <c r="B53" s="83">
        <f>MATCH(Tableau6[[#This Row],[x0]],Flexion!D$11:Z$11,1)</f>
        <v>2</v>
      </c>
      <c r="C53" s="83">
        <f>Tableau6[[#This Row],[N° pas]]*$A$2</f>
        <v>645</v>
      </c>
      <c r="D53" s="101">
        <f>IF($B53=$B52,Tableau6[[#This Row],[x0]],INDEX(Flexion!D$11:Z$11,$B53))</f>
        <v>645</v>
      </c>
      <c r="E53" s="83" t="str">
        <f>IF(B53=B52,"-",VALUE(INDEX(Flexion!D$10:Z$10,Tableau6[[#This Row],[Col.]])))</f>
        <v>-</v>
      </c>
      <c r="F53" s="83" t="str">
        <f>IF(E53="-","-",IF(INDEX(Flexion!D$12:Z$12,Tableau6[[#This Row],[Col.]])="","-",INDEX(Flexion!D$12:Z$12,Tableau6[[#This Row],[Col.]])))</f>
        <v>-</v>
      </c>
      <c r="G53" s="84">
        <f>IF(Tableau6[[#This Row],[Nœud]]&lt;&gt;"-",INDEX(Flexion!D$13:Z$13,Tableau6[[#This Row],[Col.]]),)</f>
        <v>0</v>
      </c>
      <c r="H53" s="83">
        <f>IF(Tableau6[[#This Row],[Appui]]&lt;&gt;"-",INDEX(Flexion!D$14:Z$14,Tableau6[[#This Row],[Col.]]),)</f>
        <v>0</v>
      </c>
      <c r="I53" s="92">
        <f>$I52+($D53-$D52)*(SUM($G$10:$G52,$H$10:$H52))</f>
        <v>-231875</v>
      </c>
      <c r="J53" s="84">
        <f>INDEX(Flexion!D$16:Z$16,Tableau6[[#This Row],[Col.]])*($D54-$D53)</f>
        <v>-30</v>
      </c>
      <c r="K53" s="83">
        <f>IF(B53=B52,0,INDEX(Flexion!D$20:Z$20,Tableau6[[#This Row],[Col.]]))</f>
        <v>0</v>
      </c>
      <c r="L53" s="92">
        <f>$L52+($D53-$D52)*(SUM($J$10:$J52,$K$10:$K52)-$J52/2)</f>
        <v>204450</v>
      </c>
      <c r="M53" s="84">
        <f>Tableau6[[#This Row],[Fr nod.]]+Tableau6[[#This Row],[Fr lin.]]</f>
        <v>0</v>
      </c>
      <c r="N53" s="92">
        <f>Tableau6[[#This Row],[Mt nod.]]+Tableau6[[#This Row],[Mt lin.]]</f>
        <v>-27425</v>
      </c>
      <c r="O53" s="82">
        <f t="shared" si="5"/>
        <v>-82112312.5</v>
      </c>
      <c r="P53" s="82">
        <f t="shared" ca="1" si="0"/>
        <v>-6.682797098301309E-4</v>
      </c>
      <c r="Q53" s="82">
        <f t="shared" si="6"/>
        <v>-21290222656.25</v>
      </c>
      <c r="R53" s="82">
        <f t="shared" ca="1" si="1"/>
        <v>-9.4011738219855201E-2</v>
      </c>
      <c r="S53" s="102">
        <f ca="1">OFFSET($A53,,CHOOSE(Flexion!$A$26,COLUMN($M$9)-1,COLUMN($N$9)-1,COLUMN($P$9)-1,COLUMN($R$9)-1))</f>
        <v>-27425</v>
      </c>
    </row>
    <row r="54" spans="1:19" x14ac:dyDescent="0.2">
      <c r="A54" s="83">
        <f t="shared" si="2"/>
        <v>44</v>
      </c>
      <c r="B54" s="83">
        <f>MATCH(Tableau6[[#This Row],[x0]],Flexion!D$11:Z$11,1)</f>
        <v>2</v>
      </c>
      <c r="C54" s="83">
        <f>Tableau6[[#This Row],[N° pas]]*$A$2</f>
        <v>660</v>
      </c>
      <c r="D54" s="101">
        <f>IF($B54=$B53,Tableau6[[#This Row],[x0]],INDEX(Flexion!D$11:Z$11,$B54))</f>
        <v>660</v>
      </c>
      <c r="E54" s="83" t="str">
        <f>IF(B54=B53,"-",VALUE(INDEX(Flexion!D$10:Z$10,Tableau6[[#This Row],[Col.]])))</f>
        <v>-</v>
      </c>
      <c r="F54" s="83" t="str">
        <f>IF(E54="-","-",IF(INDEX(Flexion!D$12:Z$12,Tableau6[[#This Row],[Col.]])="","-",INDEX(Flexion!D$12:Z$12,Tableau6[[#This Row],[Col.]])))</f>
        <v>-</v>
      </c>
      <c r="G54" s="84">
        <f>IF(Tableau6[[#This Row],[Nœud]]&lt;&gt;"-",INDEX(Flexion!D$13:Z$13,Tableau6[[#This Row],[Col.]]),)</f>
        <v>0</v>
      </c>
      <c r="H54" s="83">
        <f>IF(Tableau6[[#This Row],[Appui]]&lt;&gt;"-",INDEX(Flexion!D$14:Z$14,Tableau6[[#This Row],[Col.]]),)</f>
        <v>0</v>
      </c>
      <c r="I54" s="92">
        <f>$I53+($D54-$D53)*(SUM($G$10:$G53,$H$10:$H53))</f>
        <v>-230000</v>
      </c>
      <c r="J54" s="84">
        <f>INDEX(Flexion!D$16:Z$16,Tableau6[[#This Row],[Col.]])*($D55-$D54)</f>
        <v>-30</v>
      </c>
      <c r="K54" s="83">
        <f>IF(B54=B53,0,INDEX(Flexion!D$20:Z$20,Tableau6[[#This Row],[Col.]]))</f>
        <v>0</v>
      </c>
      <c r="L54" s="92">
        <f>$L53+($D54-$D53)*(SUM($J$10:$J53,$K$10:$K53)-$J53/2)</f>
        <v>223200</v>
      </c>
      <c r="M54" s="84">
        <f>Tableau6[[#This Row],[Fr nod.]]+Tableau6[[#This Row],[Fr lin.]]</f>
        <v>0</v>
      </c>
      <c r="N54" s="92">
        <f>Tableau6[[#This Row],[Mt nod.]]+Tableau6[[#This Row],[Mt lin.]]</f>
        <v>-6800</v>
      </c>
      <c r="O54" s="82">
        <f t="shared" si="5"/>
        <v>-82369000</v>
      </c>
      <c r="P54" s="82">
        <f t="shared" ca="1" si="0"/>
        <v>-6.6899451768309671E-4</v>
      </c>
      <c r="Q54" s="82">
        <f t="shared" si="6"/>
        <v>-22523832500</v>
      </c>
      <c r="R54" s="82">
        <f t="shared" ca="1" si="1"/>
        <v>-0.1040412949262044</v>
      </c>
      <c r="S54" s="102">
        <f ca="1">OFFSET($A54,,CHOOSE(Flexion!$A$26,COLUMN($M$9)-1,COLUMN($N$9)-1,COLUMN($P$9)-1,COLUMN($R$9)-1))</f>
        <v>-6800</v>
      </c>
    </row>
    <row r="55" spans="1:19" x14ac:dyDescent="0.2">
      <c r="A55" s="83">
        <f t="shared" si="2"/>
        <v>45</v>
      </c>
      <c r="B55" s="83">
        <f>MATCH(Tableau6[[#This Row],[x0]],Flexion!D$11:Z$11,1)</f>
        <v>2</v>
      </c>
      <c r="C55" s="83">
        <f>Tableau6[[#This Row],[N° pas]]*$A$2</f>
        <v>675</v>
      </c>
      <c r="D55" s="101">
        <f>IF($B55=$B54,Tableau6[[#This Row],[x0]],INDEX(Flexion!D$11:Z$11,$B55))</f>
        <v>675</v>
      </c>
      <c r="E55" s="83" t="str">
        <f>IF(B55=B54,"-",VALUE(INDEX(Flexion!D$10:Z$10,Tableau6[[#This Row],[Col.]])))</f>
        <v>-</v>
      </c>
      <c r="F55" s="83" t="str">
        <f>IF(E55="-","-",IF(INDEX(Flexion!D$12:Z$12,Tableau6[[#This Row],[Col.]])="","-",INDEX(Flexion!D$12:Z$12,Tableau6[[#This Row],[Col.]])))</f>
        <v>-</v>
      </c>
      <c r="G55" s="84">
        <f>IF(Tableau6[[#This Row],[Nœud]]&lt;&gt;"-",INDEX(Flexion!D$13:Z$13,Tableau6[[#This Row],[Col.]]),)</f>
        <v>0</v>
      </c>
      <c r="H55" s="83">
        <f>IF(Tableau6[[#This Row],[Appui]]&lt;&gt;"-",INDEX(Flexion!D$14:Z$14,Tableau6[[#This Row],[Col.]]),)</f>
        <v>0</v>
      </c>
      <c r="I55" s="92">
        <f>$I54+($D55-$D54)*(SUM($G$10:$G54,$H$10:$H54))</f>
        <v>-228125</v>
      </c>
      <c r="J55" s="84">
        <f>INDEX(Flexion!D$16:Z$16,Tableau6[[#This Row],[Col.]])*($D56-$D55)</f>
        <v>-30</v>
      </c>
      <c r="K55" s="83">
        <f>IF(B55=B54,0,INDEX(Flexion!D$20:Z$20,Tableau6[[#This Row],[Col.]]))</f>
        <v>0</v>
      </c>
      <c r="L55" s="92">
        <f>$L54+($D55-$D54)*(SUM($J$10:$J54,$K$10:$K54)-$J54/2)</f>
        <v>241500</v>
      </c>
      <c r="M55" s="84">
        <f>Tableau6[[#This Row],[Fr nod.]]+Tableau6[[#This Row],[Fr lin.]]</f>
        <v>0</v>
      </c>
      <c r="N55" s="92">
        <f>Tableau6[[#This Row],[Mt nod.]]+Tableau6[[#This Row],[Mt lin.]]</f>
        <v>13375</v>
      </c>
      <c r="O55" s="82">
        <f t="shared" si="5"/>
        <v>-82319687.5</v>
      </c>
      <c r="P55" s="82">
        <f t="shared" ca="1" si="0"/>
        <v>-6.6885719521024784E-4</v>
      </c>
      <c r="Q55" s="82">
        <f t="shared" si="6"/>
        <v>-23758997656.25</v>
      </c>
      <c r="R55" s="82">
        <f t="shared" ca="1" si="1"/>
        <v>-0.11407518277290452</v>
      </c>
      <c r="S55" s="102">
        <f ca="1">OFFSET($A55,,CHOOSE(Flexion!$A$26,COLUMN($M$9)-1,COLUMN($N$9)-1,COLUMN($P$9)-1,COLUMN($R$9)-1))</f>
        <v>13375</v>
      </c>
    </row>
    <row r="56" spans="1:19" x14ac:dyDescent="0.2">
      <c r="A56" s="83">
        <f t="shared" si="2"/>
        <v>46</v>
      </c>
      <c r="B56" s="83">
        <f>MATCH(Tableau6[[#This Row],[x0]],Flexion!D$11:Z$11,1)</f>
        <v>2</v>
      </c>
      <c r="C56" s="83">
        <f>Tableau6[[#This Row],[N° pas]]*$A$2</f>
        <v>690</v>
      </c>
      <c r="D56" s="101">
        <f>IF($B56=$B55,Tableau6[[#This Row],[x0]],INDEX(Flexion!D$11:Z$11,$B56))</f>
        <v>690</v>
      </c>
      <c r="E56" s="83" t="str">
        <f>IF(B56=B55,"-",VALUE(INDEX(Flexion!D$10:Z$10,Tableau6[[#This Row],[Col.]])))</f>
        <v>-</v>
      </c>
      <c r="F56" s="83" t="str">
        <f>IF(E56="-","-",IF(INDEX(Flexion!D$12:Z$12,Tableau6[[#This Row],[Col.]])="","-",INDEX(Flexion!D$12:Z$12,Tableau6[[#This Row],[Col.]])))</f>
        <v>-</v>
      </c>
      <c r="G56" s="84">
        <f>IF(Tableau6[[#This Row],[Nœud]]&lt;&gt;"-",INDEX(Flexion!D$13:Z$13,Tableau6[[#This Row],[Col.]]),)</f>
        <v>0</v>
      </c>
      <c r="H56" s="83">
        <f>IF(Tableau6[[#This Row],[Appui]]&lt;&gt;"-",INDEX(Flexion!D$14:Z$14,Tableau6[[#This Row],[Col.]]),)</f>
        <v>0</v>
      </c>
      <c r="I56" s="92">
        <f>$I55+($D56-$D55)*(SUM($G$10:$G55,$H$10:$H55))</f>
        <v>-226250</v>
      </c>
      <c r="J56" s="84">
        <f>INDEX(Flexion!D$16:Z$16,Tableau6[[#This Row],[Col.]])*($D57-$D56)</f>
        <v>-30</v>
      </c>
      <c r="K56" s="83">
        <f>IF(B56=B55,0,INDEX(Flexion!D$20:Z$20,Tableau6[[#This Row],[Col.]]))</f>
        <v>0</v>
      </c>
      <c r="L56" s="92">
        <f>$L55+($D56-$D55)*(SUM($J$10:$J55,$K$10:$K55)-$J55/2)</f>
        <v>259350</v>
      </c>
      <c r="M56" s="84">
        <f>Tableau6[[#This Row],[Fr nod.]]+Tableau6[[#This Row],[Fr lin.]]</f>
        <v>0</v>
      </c>
      <c r="N56" s="92">
        <f>Tableau6[[#This Row],[Mt nod.]]+Tableau6[[#This Row],[Mt lin.]]</f>
        <v>33100</v>
      </c>
      <c r="O56" s="82">
        <f t="shared" si="5"/>
        <v>-81971125</v>
      </c>
      <c r="P56" s="82">
        <f t="shared" ca="1" si="0"/>
        <v>-6.6788653940406582E-4</v>
      </c>
      <c r="Q56" s="82">
        <f t="shared" si="6"/>
        <v>-24991178750</v>
      </c>
      <c r="R56" s="82">
        <f t="shared" ca="1" si="1"/>
        <v>-0.12410076078251181</v>
      </c>
      <c r="S56" s="102">
        <f ca="1">OFFSET($A56,,CHOOSE(Flexion!$A$26,COLUMN($M$9)-1,COLUMN($N$9)-1,COLUMN($P$9)-1,COLUMN($R$9)-1))</f>
        <v>33100</v>
      </c>
    </row>
    <row r="57" spans="1:19" x14ac:dyDescent="0.2">
      <c r="A57" s="83">
        <f t="shared" si="2"/>
        <v>47</v>
      </c>
      <c r="B57" s="83">
        <f>MATCH(Tableau6[[#This Row],[x0]],Flexion!D$11:Z$11,1)</f>
        <v>2</v>
      </c>
      <c r="C57" s="83">
        <f>Tableau6[[#This Row],[N° pas]]*$A$2</f>
        <v>705</v>
      </c>
      <c r="D57" s="101">
        <f>IF($B57=$B56,Tableau6[[#This Row],[x0]],INDEX(Flexion!D$11:Z$11,$B57))</f>
        <v>705</v>
      </c>
      <c r="E57" s="83" t="str">
        <f>IF(B57=B56,"-",VALUE(INDEX(Flexion!D$10:Z$10,Tableau6[[#This Row],[Col.]])))</f>
        <v>-</v>
      </c>
      <c r="F57" s="83" t="str">
        <f>IF(E57="-","-",IF(INDEX(Flexion!D$12:Z$12,Tableau6[[#This Row],[Col.]])="","-",INDEX(Flexion!D$12:Z$12,Tableau6[[#This Row],[Col.]])))</f>
        <v>-</v>
      </c>
      <c r="G57" s="84">
        <f>IF(Tableau6[[#This Row],[Nœud]]&lt;&gt;"-",INDEX(Flexion!D$13:Z$13,Tableau6[[#This Row],[Col.]]),)</f>
        <v>0</v>
      </c>
      <c r="H57" s="83">
        <f>IF(Tableau6[[#This Row],[Appui]]&lt;&gt;"-",INDEX(Flexion!D$14:Z$14,Tableau6[[#This Row],[Col.]]),)</f>
        <v>0</v>
      </c>
      <c r="I57" s="92">
        <f>$I56+($D57-$D56)*(SUM($G$10:$G56,$H$10:$H56))</f>
        <v>-224375</v>
      </c>
      <c r="J57" s="84">
        <f>INDEX(Flexion!D$16:Z$16,Tableau6[[#This Row],[Col.]])*($D58-$D57)</f>
        <v>-30</v>
      </c>
      <c r="K57" s="83">
        <f>IF(B57=B56,0,INDEX(Flexion!D$20:Z$20,Tableau6[[#This Row],[Col.]]))</f>
        <v>0</v>
      </c>
      <c r="L57" s="92">
        <f>$L56+($D57-$D56)*(SUM($J$10:$J56,$K$10:$K56)-$J56/2)</f>
        <v>276750</v>
      </c>
      <c r="M57" s="84">
        <f>Tableau6[[#This Row],[Fr nod.]]+Tableau6[[#This Row],[Fr lin.]]</f>
        <v>0</v>
      </c>
      <c r="N57" s="92">
        <f>Tableau6[[#This Row],[Mt nod.]]+Tableau6[[#This Row],[Mt lin.]]</f>
        <v>52375</v>
      </c>
      <c r="O57" s="82">
        <f t="shared" si="5"/>
        <v>-81330062.5</v>
      </c>
      <c r="P57" s="82">
        <f t="shared" ca="1" si="0"/>
        <v>-6.661013472570315E-4</v>
      </c>
      <c r="Q57" s="82">
        <f t="shared" si="6"/>
        <v>-26215937656.25</v>
      </c>
      <c r="R57" s="82">
        <f t="shared" ca="1" si="1"/>
        <v>-0.13410566993247008</v>
      </c>
      <c r="S57" s="102">
        <f ca="1">OFFSET($A57,,CHOOSE(Flexion!$A$26,COLUMN($M$9)-1,COLUMN($N$9)-1,COLUMN($P$9)-1,COLUMN($R$9)-1))</f>
        <v>52375</v>
      </c>
    </row>
    <row r="58" spans="1:19" x14ac:dyDescent="0.2">
      <c r="A58" s="83">
        <f t="shared" si="2"/>
        <v>48</v>
      </c>
      <c r="B58" s="83">
        <f>MATCH(Tableau6[[#This Row],[x0]],Flexion!D$11:Z$11,1)</f>
        <v>2</v>
      </c>
      <c r="C58" s="83">
        <f>Tableau6[[#This Row],[N° pas]]*$A$2</f>
        <v>720</v>
      </c>
      <c r="D58" s="101">
        <f>IF($B58=$B57,Tableau6[[#This Row],[x0]],INDEX(Flexion!D$11:Z$11,$B58))</f>
        <v>720</v>
      </c>
      <c r="E58" s="83" t="str">
        <f>IF(B58=B57,"-",VALUE(INDEX(Flexion!D$10:Z$10,Tableau6[[#This Row],[Col.]])))</f>
        <v>-</v>
      </c>
      <c r="F58" s="83" t="str">
        <f>IF(E58="-","-",IF(INDEX(Flexion!D$12:Z$12,Tableau6[[#This Row],[Col.]])="","-",INDEX(Flexion!D$12:Z$12,Tableau6[[#This Row],[Col.]])))</f>
        <v>-</v>
      </c>
      <c r="G58" s="84">
        <f>IF(Tableau6[[#This Row],[Nœud]]&lt;&gt;"-",INDEX(Flexion!D$13:Z$13,Tableau6[[#This Row],[Col.]]),)</f>
        <v>0</v>
      </c>
      <c r="H58" s="83">
        <f>IF(Tableau6[[#This Row],[Appui]]&lt;&gt;"-",INDEX(Flexion!D$14:Z$14,Tableau6[[#This Row],[Col.]]),)</f>
        <v>0</v>
      </c>
      <c r="I58" s="92">
        <f>$I57+($D58-$D57)*(SUM($G$10:$G57,$H$10:$H57))</f>
        <v>-222500</v>
      </c>
      <c r="J58" s="84">
        <f>INDEX(Flexion!D$16:Z$16,Tableau6[[#This Row],[Col.]])*($D59-$D58)</f>
        <v>-30</v>
      </c>
      <c r="K58" s="83">
        <f>IF(B58=B57,0,INDEX(Flexion!D$20:Z$20,Tableau6[[#This Row],[Col.]]))</f>
        <v>0</v>
      </c>
      <c r="L58" s="92">
        <f>$L57+($D58-$D57)*(SUM($J$10:$J57,$K$10:$K57)-$J57/2)</f>
        <v>293700</v>
      </c>
      <c r="M58" s="84">
        <f>Tableau6[[#This Row],[Fr nod.]]+Tableau6[[#This Row],[Fr lin.]]</f>
        <v>0</v>
      </c>
      <c r="N58" s="92">
        <f>Tableau6[[#This Row],[Mt nod.]]+Tableau6[[#This Row],[Mt lin.]]</f>
        <v>71200</v>
      </c>
      <c r="O58" s="82">
        <f t="shared" si="5"/>
        <v>-80403250</v>
      </c>
      <c r="P58" s="82">
        <f t="shared" ca="1" si="0"/>
        <v>-6.6352041576162632E-4</v>
      </c>
      <c r="Q58" s="82">
        <f t="shared" si="6"/>
        <v>-27428937500</v>
      </c>
      <c r="R58" s="82">
        <f t="shared" ca="1" si="1"/>
        <v>-0.14407783315511002</v>
      </c>
      <c r="S58" s="102">
        <f ca="1">OFFSET($A58,,CHOOSE(Flexion!$A$26,COLUMN($M$9)-1,COLUMN($N$9)-1,COLUMN($P$9)-1,COLUMN($R$9)-1))</f>
        <v>71200</v>
      </c>
    </row>
    <row r="59" spans="1:19" x14ac:dyDescent="0.2">
      <c r="A59" s="83">
        <f t="shared" si="2"/>
        <v>49</v>
      </c>
      <c r="B59" s="83">
        <f>MATCH(Tableau6[[#This Row],[x0]],Flexion!D$11:Z$11,1)</f>
        <v>2</v>
      </c>
      <c r="C59" s="83">
        <f>Tableau6[[#This Row],[N° pas]]*$A$2</f>
        <v>735</v>
      </c>
      <c r="D59" s="101">
        <f>IF($B59=$B58,Tableau6[[#This Row],[x0]],INDEX(Flexion!D$11:Z$11,$B59))</f>
        <v>735</v>
      </c>
      <c r="E59" s="83" t="str">
        <f>IF(B59=B58,"-",VALUE(INDEX(Flexion!D$10:Z$10,Tableau6[[#This Row],[Col.]])))</f>
        <v>-</v>
      </c>
      <c r="F59" s="83" t="str">
        <f>IF(E59="-","-",IF(INDEX(Flexion!D$12:Z$12,Tableau6[[#This Row],[Col.]])="","-",INDEX(Flexion!D$12:Z$12,Tableau6[[#This Row],[Col.]])))</f>
        <v>-</v>
      </c>
      <c r="G59" s="84">
        <f>IF(Tableau6[[#This Row],[Nœud]]&lt;&gt;"-",INDEX(Flexion!D$13:Z$13,Tableau6[[#This Row],[Col.]]),)</f>
        <v>0</v>
      </c>
      <c r="H59" s="83">
        <f>IF(Tableau6[[#This Row],[Appui]]&lt;&gt;"-",INDEX(Flexion!D$14:Z$14,Tableau6[[#This Row],[Col.]]),)</f>
        <v>0</v>
      </c>
      <c r="I59" s="92">
        <f>$I58+($D59-$D58)*(SUM($G$10:$G58,$H$10:$H58))</f>
        <v>-220625</v>
      </c>
      <c r="J59" s="84">
        <f>INDEX(Flexion!D$16:Z$16,Tableau6[[#This Row],[Col.]])*($D60-$D59)</f>
        <v>-30</v>
      </c>
      <c r="K59" s="83">
        <f>IF(B59=B58,0,INDEX(Flexion!D$20:Z$20,Tableau6[[#This Row],[Col.]]))</f>
        <v>0</v>
      </c>
      <c r="L59" s="92">
        <f>$L58+($D59-$D58)*(SUM($J$10:$J58,$K$10:$K58)-$J58/2)</f>
        <v>310200</v>
      </c>
      <c r="M59" s="84">
        <f>Tableau6[[#This Row],[Fr nod.]]+Tableau6[[#This Row],[Fr lin.]]</f>
        <v>0</v>
      </c>
      <c r="N59" s="92">
        <f>Tableau6[[#This Row],[Mt nod.]]+Tableau6[[#This Row],[Mt lin.]]</f>
        <v>89575</v>
      </c>
      <c r="O59" s="82">
        <f t="shared" si="5"/>
        <v>-79197437.5</v>
      </c>
      <c r="P59" s="82">
        <f t="shared" ca="1" si="0"/>
        <v>-6.6016254191033144E-4</v>
      </c>
      <c r="Q59" s="82">
        <f t="shared" si="6"/>
        <v>-28625942656.25</v>
      </c>
      <c r="R59" s="82">
        <f t="shared" ca="1" si="1"/>
        <v>-0.1540054553376497</v>
      </c>
      <c r="S59" s="102">
        <f ca="1">OFFSET($A59,,CHOOSE(Flexion!$A$26,COLUMN($M$9)-1,COLUMN($N$9)-1,COLUMN($P$9)-1,COLUMN($R$9)-1))</f>
        <v>89575</v>
      </c>
    </row>
    <row r="60" spans="1:19" x14ac:dyDescent="0.2">
      <c r="A60" s="83">
        <f t="shared" si="2"/>
        <v>50</v>
      </c>
      <c r="B60" s="83">
        <f>MATCH(Tableau6[[#This Row],[x0]],Flexion!D$11:Z$11,1)</f>
        <v>2</v>
      </c>
      <c r="C60" s="83">
        <f>Tableau6[[#This Row],[N° pas]]*$A$2</f>
        <v>750</v>
      </c>
      <c r="D60" s="101">
        <f>IF($B60=$B59,Tableau6[[#This Row],[x0]],INDEX(Flexion!D$11:Z$11,$B60))</f>
        <v>750</v>
      </c>
      <c r="E60" s="83" t="str">
        <f>IF(B60=B59,"-",VALUE(INDEX(Flexion!D$10:Z$10,Tableau6[[#This Row],[Col.]])))</f>
        <v>-</v>
      </c>
      <c r="F60" s="83" t="str">
        <f>IF(E60="-","-",IF(INDEX(Flexion!D$12:Z$12,Tableau6[[#This Row],[Col.]])="","-",INDEX(Flexion!D$12:Z$12,Tableau6[[#This Row],[Col.]])))</f>
        <v>-</v>
      </c>
      <c r="G60" s="84">
        <f>IF(Tableau6[[#This Row],[Nœud]]&lt;&gt;"-",INDEX(Flexion!D$13:Z$13,Tableau6[[#This Row],[Col.]]),)</f>
        <v>0</v>
      </c>
      <c r="H60" s="83">
        <f>IF(Tableau6[[#This Row],[Appui]]&lt;&gt;"-",INDEX(Flexion!D$14:Z$14,Tableau6[[#This Row],[Col.]]),)</f>
        <v>0</v>
      </c>
      <c r="I60" s="92">
        <f>$I59+($D60-$D59)*(SUM($G$10:$G59,$H$10:$H59))</f>
        <v>-218750</v>
      </c>
      <c r="J60" s="84">
        <f>INDEX(Flexion!D$16:Z$16,Tableau6[[#This Row],[Col.]])*($D61-$D60)</f>
        <v>-30</v>
      </c>
      <c r="K60" s="83">
        <f>IF(B60=B59,0,INDEX(Flexion!D$20:Z$20,Tableau6[[#This Row],[Col.]]))</f>
        <v>0</v>
      </c>
      <c r="L60" s="92">
        <f>$L59+($D60-$D59)*(SUM($J$10:$J59,$K$10:$K59)-$J59/2)</f>
        <v>326250</v>
      </c>
      <c r="M60" s="84">
        <f>Tableau6[[#This Row],[Fr nod.]]+Tableau6[[#This Row],[Fr lin.]]</f>
        <v>0</v>
      </c>
      <c r="N60" s="92">
        <f>Tableau6[[#This Row],[Mt nod.]]+Tableau6[[#This Row],[Mt lin.]]</f>
        <v>107500</v>
      </c>
      <c r="O60" s="82">
        <f t="shared" si="5"/>
        <v>-77719375</v>
      </c>
      <c r="P60" s="82">
        <f t="shared" ca="1" si="0"/>
        <v>-6.5604652269562796E-4</v>
      </c>
      <c r="Q60" s="82">
        <f t="shared" si="6"/>
        <v>-29802818750</v>
      </c>
      <c r="R60" s="82">
        <f t="shared" ca="1" si="1"/>
        <v>-0.16387702332219439</v>
      </c>
      <c r="S60" s="102">
        <f ca="1">OFFSET($A60,,CHOOSE(Flexion!$A$26,COLUMN($M$9)-1,COLUMN($N$9)-1,COLUMN($P$9)-1,COLUMN($R$9)-1))</f>
        <v>107500</v>
      </c>
    </row>
    <row r="61" spans="1:19" x14ac:dyDescent="0.2">
      <c r="A61" s="83">
        <f t="shared" si="2"/>
        <v>51</v>
      </c>
      <c r="B61" s="83">
        <f>MATCH(Tableau6[[#This Row],[x0]],Flexion!D$11:Z$11,1)</f>
        <v>2</v>
      </c>
      <c r="C61" s="83">
        <f>Tableau6[[#This Row],[N° pas]]*$A$2</f>
        <v>765</v>
      </c>
      <c r="D61" s="101">
        <f>IF($B61=$B60,Tableau6[[#This Row],[x0]],INDEX(Flexion!D$11:Z$11,$B61))</f>
        <v>765</v>
      </c>
      <c r="E61" s="83" t="str">
        <f>IF(B61=B60,"-",VALUE(INDEX(Flexion!D$10:Z$10,Tableau6[[#This Row],[Col.]])))</f>
        <v>-</v>
      </c>
      <c r="F61" s="83" t="str">
        <f>IF(E61="-","-",IF(INDEX(Flexion!D$12:Z$12,Tableau6[[#This Row],[Col.]])="","-",INDEX(Flexion!D$12:Z$12,Tableau6[[#This Row],[Col.]])))</f>
        <v>-</v>
      </c>
      <c r="G61" s="84">
        <f>IF(Tableau6[[#This Row],[Nœud]]&lt;&gt;"-",INDEX(Flexion!D$13:Z$13,Tableau6[[#This Row],[Col.]]),)</f>
        <v>0</v>
      </c>
      <c r="H61" s="83">
        <f>IF(Tableau6[[#This Row],[Appui]]&lt;&gt;"-",INDEX(Flexion!D$14:Z$14,Tableau6[[#This Row],[Col.]]),)</f>
        <v>0</v>
      </c>
      <c r="I61" s="92">
        <f>$I60+($D61-$D60)*(SUM($G$10:$G60,$H$10:$H60))</f>
        <v>-216875</v>
      </c>
      <c r="J61" s="84">
        <f>INDEX(Flexion!D$16:Z$16,Tableau6[[#This Row],[Col.]])*($D62-$D61)</f>
        <v>-30</v>
      </c>
      <c r="K61" s="83">
        <f>IF(B61=B60,0,INDEX(Flexion!D$20:Z$20,Tableau6[[#This Row],[Col.]]))</f>
        <v>0</v>
      </c>
      <c r="L61" s="92">
        <f>$L60+($D61-$D60)*(SUM($J$10:$J60,$K$10:$K60)-$J60/2)</f>
        <v>341850</v>
      </c>
      <c r="M61" s="84">
        <f>Tableau6[[#This Row],[Fr nod.]]+Tableau6[[#This Row],[Fr lin.]]</f>
        <v>0</v>
      </c>
      <c r="N61" s="92">
        <f>Tableau6[[#This Row],[Mt nod.]]+Tableau6[[#This Row],[Mt lin.]]</f>
        <v>124975</v>
      </c>
      <c r="O61" s="82">
        <f t="shared" si="5"/>
        <v>-75975812.5</v>
      </c>
      <c r="P61" s="82">
        <f t="shared" ca="1" si="0"/>
        <v>-6.5119115510999729E-4</v>
      </c>
      <c r="Q61" s="82">
        <f t="shared" si="6"/>
        <v>-30955532656.25</v>
      </c>
      <c r="R61" s="82">
        <f t="shared" ca="1" si="1"/>
        <v>-0.17368130590573655</v>
      </c>
      <c r="S61" s="102">
        <f ca="1">OFFSET($A61,,CHOOSE(Flexion!$A$26,COLUMN($M$9)-1,COLUMN($N$9)-1,COLUMN($P$9)-1,COLUMN($R$9)-1))</f>
        <v>124975</v>
      </c>
    </row>
    <row r="62" spans="1:19" x14ac:dyDescent="0.2">
      <c r="A62" s="83">
        <f t="shared" si="2"/>
        <v>52</v>
      </c>
      <c r="B62" s="83">
        <f>MATCH(Tableau6[[#This Row],[x0]],Flexion!D$11:Z$11,1)</f>
        <v>2</v>
      </c>
      <c r="C62" s="83">
        <f>Tableau6[[#This Row],[N° pas]]*$A$2</f>
        <v>780</v>
      </c>
      <c r="D62" s="101">
        <f>IF($B62=$B61,Tableau6[[#This Row],[x0]],INDEX(Flexion!D$11:Z$11,$B62))</f>
        <v>780</v>
      </c>
      <c r="E62" s="83" t="str">
        <f>IF(B62=B61,"-",VALUE(INDEX(Flexion!D$10:Z$10,Tableau6[[#This Row],[Col.]])))</f>
        <v>-</v>
      </c>
      <c r="F62" s="83" t="str">
        <f>IF(E62="-","-",IF(INDEX(Flexion!D$12:Z$12,Tableau6[[#This Row],[Col.]])="","-",INDEX(Flexion!D$12:Z$12,Tableau6[[#This Row],[Col.]])))</f>
        <v>-</v>
      </c>
      <c r="G62" s="84">
        <f>IF(Tableau6[[#This Row],[Nœud]]&lt;&gt;"-",INDEX(Flexion!D$13:Z$13,Tableau6[[#This Row],[Col.]]),)</f>
        <v>0</v>
      </c>
      <c r="H62" s="83">
        <f>IF(Tableau6[[#This Row],[Appui]]&lt;&gt;"-",INDEX(Flexion!D$14:Z$14,Tableau6[[#This Row],[Col.]]),)</f>
        <v>0</v>
      </c>
      <c r="I62" s="92">
        <f>$I61+($D62-$D61)*(SUM($G$10:$G61,$H$10:$H61))</f>
        <v>-215000</v>
      </c>
      <c r="J62" s="84">
        <f>INDEX(Flexion!D$16:Z$16,Tableau6[[#This Row],[Col.]])*($D63-$D62)</f>
        <v>-30</v>
      </c>
      <c r="K62" s="83">
        <f>IF(B62=B61,0,INDEX(Flexion!D$20:Z$20,Tableau6[[#This Row],[Col.]]))</f>
        <v>0</v>
      </c>
      <c r="L62" s="92">
        <f>$L61+($D62-$D61)*(SUM($J$10:$J61,$K$10:$K61)-$J61/2)</f>
        <v>357000</v>
      </c>
      <c r="M62" s="84">
        <f>Tableau6[[#This Row],[Fr nod.]]+Tableau6[[#This Row],[Fr lin.]]</f>
        <v>0</v>
      </c>
      <c r="N62" s="92">
        <f>Tableau6[[#This Row],[Mt nod.]]+Tableau6[[#This Row],[Mt lin.]]</f>
        <v>142000</v>
      </c>
      <c r="O62" s="82">
        <f t="shared" si="5"/>
        <v>-73973500</v>
      </c>
      <c r="P62" s="82">
        <f t="shared" ca="1" si="0"/>
        <v>-6.4561523614592041E-4</v>
      </c>
      <c r="Q62" s="82">
        <f t="shared" si="6"/>
        <v>-32080152500</v>
      </c>
      <c r="R62" s="82">
        <f t="shared" ca="1" si="1"/>
        <v>-0.18340735384015594</v>
      </c>
      <c r="S62" s="102">
        <f ca="1">OFFSET($A62,,CHOOSE(Flexion!$A$26,COLUMN($M$9)-1,COLUMN($N$9)-1,COLUMN($P$9)-1,COLUMN($R$9)-1))</f>
        <v>142000</v>
      </c>
    </row>
    <row r="63" spans="1:19" x14ac:dyDescent="0.2">
      <c r="A63" s="83">
        <f t="shared" si="2"/>
        <v>53</v>
      </c>
      <c r="B63" s="83">
        <f>MATCH(Tableau6[[#This Row],[x0]],Flexion!D$11:Z$11,1)</f>
        <v>2</v>
      </c>
      <c r="C63" s="83">
        <f>Tableau6[[#This Row],[N° pas]]*$A$2</f>
        <v>795</v>
      </c>
      <c r="D63" s="101">
        <f>IF($B63=$B62,Tableau6[[#This Row],[x0]],INDEX(Flexion!D$11:Z$11,$B63))</f>
        <v>795</v>
      </c>
      <c r="E63" s="83" t="str">
        <f>IF(B63=B62,"-",VALUE(INDEX(Flexion!D$10:Z$10,Tableau6[[#This Row],[Col.]])))</f>
        <v>-</v>
      </c>
      <c r="F63" s="83" t="str">
        <f>IF(E63="-","-",IF(INDEX(Flexion!D$12:Z$12,Tableau6[[#This Row],[Col.]])="","-",INDEX(Flexion!D$12:Z$12,Tableau6[[#This Row],[Col.]])))</f>
        <v>-</v>
      </c>
      <c r="G63" s="84">
        <f>IF(Tableau6[[#This Row],[Nœud]]&lt;&gt;"-",INDEX(Flexion!D$13:Z$13,Tableau6[[#This Row],[Col.]]),)</f>
        <v>0</v>
      </c>
      <c r="H63" s="83">
        <f>IF(Tableau6[[#This Row],[Appui]]&lt;&gt;"-",INDEX(Flexion!D$14:Z$14,Tableau6[[#This Row],[Col.]]),)</f>
        <v>0</v>
      </c>
      <c r="I63" s="92">
        <f>$I62+($D63-$D62)*(SUM($G$10:$G62,$H$10:$H62))</f>
        <v>-213125</v>
      </c>
      <c r="J63" s="84">
        <f>INDEX(Flexion!D$16:Z$16,Tableau6[[#This Row],[Col.]])*($D64-$D63)</f>
        <v>-30</v>
      </c>
      <c r="K63" s="83">
        <f>IF(B63=B62,0,INDEX(Flexion!D$20:Z$20,Tableau6[[#This Row],[Col.]]))</f>
        <v>0</v>
      </c>
      <c r="L63" s="92">
        <f>$L62+($D63-$D62)*(SUM($J$10:$J62,$K$10:$K62)-$J62/2)</f>
        <v>371700</v>
      </c>
      <c r="M63" s="84">
        <f>Tableau6[[#This Row],[Fr nod.]]+Tableau6[[#This Row],[Fr lin.]]</f>
        <v>0</v>
      </c>
      <c r="N63" s="92">
        <f>Tableau6[[#This Row],[Mt nod.]]+Tableau6[[#This Row],[Mt lin.]]</f>
        <v>158575</v>
      </c>
      <c r="O63" s="82">
        <f t="shared" si="5"/>
        <v>-71719187.5</v>
      </c>
      <c r="P63" s="82">
        <f t="shared" ca="1" si="0"/>
        <v>-6.3933756279587861E-4</v>
      </c>
      <c r="Q63" s="82">
        <f t="shared" si="6"/>
        <v>-33172847656.25</v>
      </c>
      <c r="R63" s="82">
        <f t="shared" ca="1" si="1"/>
        <v>-0.19304449983221944</v>
      </c>
      <c r="S63" s="102">
        <f ca="1">OFFSET($A63,,CHOOSE(Flexion!$A$26,COLUMN($M$9)-1,COLUMN($N$9)-1,COLUMN($P$9)-1,COLUMN($R$9)-1))</f>
        <v>158575</v>
      </c>
    </row>
    <row r="64" spans="1:19" x14ac:dyDescent="0.2">
      <c r="A64" s="83">
        <f t="shared" si="2"/>
        <v>54</v>
      </c>
      <c r="B64" s="83">
        <f>MATCH(Tableau6[[#This Row],[x0]],Flexion!D$11:Z$11,1)</f>
        <v>2</v>
      </c>
      <c r="C64" s="83">
        <f>Tableau6[[#This Row],[N° pas]]*$A$2</f>
        <v>810</v>
      </c>
      <c r="D64" s="101">
        <f>IF($B64=$B63,Tableau6[[#This Row],[x0]],INDEX(Flexion!D$11:Z$11,$B64))</f>
        <v>810</v>
      </c>
      <c r="E64" s="83" t="str">
        <f>IF(B64=B63,"-",VALUE(INDEX(Flexion!D$10:Z$10,Tableau6[[#This Row],[Col.]])))</f>
        <v>-</v>
      </c>
      <c r="F64" s="83" t="str">
        <f>IF(E64="-","-",IF(INDEX(Flexion!D$12:Z$12,Tableau6[[#This Row],[Col.]])="","-",INDEX(Flexion!D$12:Z$12,Tableau6[[#This Row],[Col.]])))</f>
        <v>-</v>
      </c>
      <c r="G64" s="84">
        <f>IF(Tableau6[[#This Row],[Nœud]]&lt;&gt;"-",INDEX(Flexion!D$13:Z$13,Tableau6[[#This Row],[Col.]]),)</f>
        <v>0</v>
      </c>
      <c r="H64" s="83">
        <f>IF(Tableau6[[#This Row],[Appui]]&lt;&gt;"-",INDEX(Flexion!D$14:Z$14,Tableau6[[#This Row],[Col.]]),)</f>
        <v>0</v>
      </c>
      <c r="I64" s="92">
        <f>$I63+($D64-$D63)*(SUM($G$10:$G63,$H$10:$H63))</f>
        <v>-211250</v>
      </c>
      <c r="J64" s="84">
        <f>INDEX(Flexion!D$16:Z$16,Tableau6[[#This Row],[Col.]])*($D65-$D64)</f>
        <v>-30</v>
      </c>
      <c r="K64" s="83">
        <f>IF(B64=B63,0,INDEX(Flexion!D$20:Z$20,Tableau6[[#This Row],[Col.]]))</f>
        <v>0</v>
      </c>
      <c r="L64" s="92">
        <f>$L63+($D64-$D63)*(SUM($J$10:$J63,$K$10:$K63)-$J63/2)</f>
        <v>385950</v>
      </c>
      <c r="M64" s="84">
        <f>Tableau6[[#This Row],[Fr nod.]]+Tableau6[[#This Row],[Fr lin.]]</f>
        <v>0</v>
      </c>
      <c r="N64" s="92">
        <f>Tableau6[[#This Row],[Mt nod.]]+Tableau6[[#This Row],[Mt lin.]]</f>
        <v>174700</v>
      </c>
      <c r="O64" s="82">
        <f t="shared" si="5"/>
        <v>-69219625</v>
      </c>
      <c r="P64" s="82">
        <f t="shared" ca="1" si="0"/>
        <v>-6.3237693205235308E-4</v>
      </c>
      <c r="Q64" s="82">
        <f t="shared" si="6"/>
        <v>-34229888750</v>
      </c>
      <c r="R64" s="82">
        <f t="shared" ca="1" si="1"/>
        <v>-0.2025823585435812</v>
      </c>
      <c r="S64" s="102">
        <f ca="1">OFFSET($A64,,CHOOSE(Flexion!$A$26,COLUMN($M$9)-1,COLUMN($N$9)-1,COLUMN($P$9)-1,COLUMN($R$9)-1))</f>
        <v>174700</v>
      </c>
    </row>
    <row r="65" spans="1:19" x14ac:dyDescent="0.2">
      <c r="A65" s="83">
        <f t="shared" si="2"/>
        <v>55</v>
      </c>
      <c r="B65" s="83">
        <f>MATCH(Tableau6[[#This Row],[x0]],Flexion!D$11:Z$11,1)</f>
        <v>2</v>
      </c>
      <c r="C65" s="83">
        <f>Tableau6[[#This Row],[N° pas]]*$A$2</f>
        <v>825</v>
      </c>
      <c r="D65" s="101">
        <f>IF($B65=$B64,Tableau6[[#This Row],[x0]],INDEX(Flexion!D$11:Z$11,$B65))</f>
        <v>825</v>
      </c>
      <c r="E65" s="83" t="str">
        <f>IF(B65=B64,"-",VALUE(INDEX(Flexion!D$10:Z$10,Tableau6[[#This Row],[Col.]])))</f>
        <v>-</v>
      </c>
      <c r="F65" s="83" t="str">
        <f>IF(E65="-","-",IF(INDEX(Flexion!D$12:Z$12,Tableau6[[#This Row],[Col.]])="","-",INDEX(Flexion!D$12:Z$12,Tableau6[[#This Row],[Col.]])))</f>
        <v>-</v>
      </c>
      <c r="G65" s="84">
        <f>IF(Tableau6[[#This Row],[Nœud]]&lt;&gt;"-",INDEX(Flexion!D$13:Z$13,Tableau6[[#This Row],[Col.]]),)</f>
        <v>0</v>
      </c>
      <c r="H65" s="83">
        <f>IF(Tableau6[[#This Row],[Appui]]&lt;&gt;"-",INDEX(Flexion!D$14:Z$14,Tableau6[[#This Row],[Col.]]),)</f>
        <v>0</v>
      </c>
      <c r="I65" s="92">
        <f>$I64+($D65-$D64)*(SUM($G$10:$G64,$H$10:$H64))</f>
        <v>-209375</v>
      </c>
      <c r="J65" s="84">
        <f>INDEX(Flexion!D$16:Z$16,Tableau6[[#This Row],[Col.]])*($D66-$D65)</f>
        <v>-30</v>
      </c>
      <c r="K65" s="83">
        <f>IF(B65=B64,0,INDEX(Flexion!D$20:Z$20,Tableau6[[#This Row],[Col.]]))</f>
        <v>0</v>
      </c>
      <c r="L65" s="92">
        <f>$L64+($D65-$D64)*(SUM($J$10:$J64,$K$10:$K64)-$J64/2)</f>
        <v>399750</v>
      </c>
      <c r="M65" s="84">
        <f>Tableau6[[#This Row],[Fr nod.]]+Tableau6[[#This Row],[Fr lin.]]</f>
        <v>0</v>
      </c>
      <c r="N65" s="92">
        <f>Tableau6[[#This Row],[Mt nod.]]+Tableau6[[#This Row],[Mt lin.]]</f>
        <v>190375</v>
      </c>
      <c r="O65" s="82">
        <f t="shared" si="5"/>
        <v>-66481562.5</v>
      </c>
      <c r="P65" s="82">
        <f t="shared" ca="1" si="0"/>
        <v>-6.2475214090782513E-4</v>
      </c>
      <c r="Q65" s="82">
        <f t="shared" si="6"/>
        <v>-35247647656.25</v>
      </c>
      <c r="R65" s="82">
        <f t="shared" ca="1" si="1"/>
        <v>-0.21201082659078252</v>
      </c>
      <c r="S65" s="102">
        <f ca="1">OFFSET($A65,,CHOOSE(Flexion!$A$26,COLUMN($M$9)-1,COLUMN($N$9)-1,COLUMN($P$9)-1,COLUMN($R$9)-1))</f>
        <v>190375</v>
      </c>
    </row>
    <row r="66" spans="1:19" x14ac:dyDescent="0.2">
      <c r="A66" s="83">
        <f t="shared" si="2"/>
        <v>56</v>
      </c>
      <c r="B66" s="83">
        <f>MATCH(Tableau6[[#This Row],[x0]],Flexion!D$11:Z$11,1)</f>
        <v>2</v>
      </c>
      <c r="C66" s="83">
        <f>Tableau6[[#This Row],[N° pas]]*$A$2</f>
        <v>840</v>
      </c>
      <c r="D66" s="101">
        <f>IF($B66=$B65,Tableau6[[#This Row],[x0]],INDEX(Flexion!D$11:Z$11,$B66))</f>
        <v>840</v>
      </c>
      <c r="E66" s="83" t="str">
        <f>IF(B66=B65,"-",VALUE(INDEX(Flexion!D$10:Z$10,Tableau6[[#This Row],[Col.]])))</f>
        <v>-</v>
      </c>
      <c r="F66" s="83" t="str">
        <f>IF(E66="-","-",IF(INDEX(Flexion!D$12:Z$12,Tableau6[[#This Row],[Col.]])="","-",INDEX(Flexion!D$12:Z$12,Tableau6[[#This Row],[Col.]])))</f>
        <v>-</v>
      </c>
      <c r="G66" s="84">
        <f>IF(Tableau6[[#This Row],[Nœud]]&lt;&gt;"-",INDEX(Flexion!D$13:Z$13,Tableau6[[#This Row],[Col.]]),)</f>
        <v>0</v>
      </c>
      <c r="H66" s="83">
        <f>IF(Tableau6[[#This Row],[Appui]]&lt;&gt;"-",INDEX(Flexion!D$14:Z$14,Tableau6[[#This Row],[Col.]]),)</f>
        <v>0</v>
      </c>
      <c r="I66" s="92">
        <f>$I65+($D66-$D65)*(SUM($G$10:$G65,$H$10:$H65))</f>
        <v>-207500</v>
      </c>
      <c r="J66" s="84">
        <f>INDEX(Flexion!D$16:Z$16,Tableau6[[#This Row],[Col.]])*($D67-$D66)</f>
        <v>-30</v>
      </c>
      <c r="K66" s="83">
        <f>IF(B66=B65,0,INDEX(Flexion!D$20:Z$20,Tableau6[[#This Row],[Col.]]))</f>
        <v>0</v>
      </c>
      <c r="L66" s="92">
        <f>$L65+($D66-$D65)*(SUM($J$10:$J65,$K$10:$K65)-$J65/2)</f>
        <v>413100</v>
      </c>
      <c r="M66" s="84">
        <f>Tableau6[[#This Row],[Fr nod.]]+Tableau6[[#This Row],[Fr lin.]]</f>
        <v>0</v>
      </c>
      <c r="N66" s="92">
        <f>Tableau6[[#This Row],[Mt nod.]]+Tableau6[[#This Row],[Mt lin.]]</f>
        <v>205600</v>
      </c>
      <c r="O66" s="82">
        <f t="shared" si="5"/>
        <v>-63511750</v>
      </c>
      <c r="P66" s="82">
        <f t="shared" ca="1" si="0"/>
        <v>-6.1648198635477585E-4</v>
      </c>
      <c r="Q66" s="82">
        <f t="shared" si="6"/>
        <v>-36222597500</v>
      </c>
      <c r="R66" s="82">
        <f t="shared" ca="1" si="1"/>
        <v>-0.22132008254525204</v>
      </c>
      <c r="S66" s="102">
        <f ca="1">OFFSET($A66,,CHOOSE(Flexion!$A$26,COLUMN($M$9)-1,COLUMN($N$9)-1,COLUMN($P$9)-1,COLUMN($R$9)-1))</f>
        <v>205600</v>
      </c>
    </row>
    <row r="67" spans="1:19" x14ac:dyDescent="0.2">
      <c r="A67" s="83">
        <f t="shared" si="2"/>
        <v>57</v>
      </c>
      <c r="B67" s="83">
        <f>MATCH(Tableau6[[#This Row],[x0]],Flexion!D$11:Z$11,1)</f>
        <v>2</v>
      </c>
      <c r="C67" s="83">
        <f>Tableau6[[#This Row],[N° pas]]*$A$2</f>
        <v>855</v>
      </c>
      <c r="D67" s="101">
        <f>IF($B67=$B66,Tableau6[[#This Row],[x0]],INDEX(Flexion!D$11:Z$11,$B67))</f>
        <v>855</v>
      </c>
      <c r="E67" s="83" t="str">
        <f>IF(B67=B66,"-",VALUE(INDEX(Flexion!D$10:Z$10,Tableau6[[#This Row],[Col.]])))</f>
        <v>-</v>
      </c>
      <c r="F67" s="83" t="str">
        <f>IF(E67="-","-",IF(INDEX(Flexion!D$12:Z$12,Tableau6[[#This Row],[Col.]])="","-",INDEX(Flexion!D$12:Z$12,Tableau6[[#This Row],[Col.]])))</f>
        <v>-</v>
      </c>
      <c r="G67" s="84">
        <f>IF(Tableau6[[#This Row],[Nœud]]&lt;&gt;"-",INDEX(Flexion!D$13:Z$13,Tableau6[[#This Row],[Col.]]),)</f>
        <v>0</v>
      </c>
      <c r="H67" s="83">
        <f>IF(Tableau6[[#This Row],[Appui]]&lt;&gt;"-",INDEX(Flexion!D$14:Z$14,Tableau6[[#This Row],[Col.]]),)</f>
        <v>0</v>
      </c>
      <c r="I67" s="92">
        <f>$I66+($D67-$D66)*(SUM($G$10:$G66,$H$10:$H66))</f>
        <v>-205625</v>
      </c>
      <c r="J67" s="84">
        <f>INDEX(Flexion!D$16:Z$16,Tableau6[[#This Row],[Col.]])*($D68-$D67)</f>
        <v>-30</v>
      </c>
      <c r="K67" s="83">
        <f>IF(B67=B66,0,INDEX(Flexion!D$20:Z$20,Tableau6[[#This Row],[Col.]]))</f>
        <v>0</v>
      </c>
      <c r="L67" s="92">
        <f>$L66+($D67-$D66)*(SUM($J$10:$J66,$K$10:$K66)-$J66/2)</f>
        <v>426000</v>
      </c>
      <c r="M67" s="84">
        <f>Tableau6[[#This Row],[Fr nod.]]+Tableau6[[#This Row],[Fr lin.]]</f>
        <v>0</v>
      </c>
      <c r="N67" s="92">
        <f>Tableau6[[#This Row],[Mt nod.]]+Tableau6[[#This Row],[Mt lin.]]</f>
        <v>220375</v>
      </c>
      <c r="O67" s="82">
        <f t="shared" si="5"/>
        <v>-60316937.5</v>
      </c>
      <c r="P67" s="82">
        <f t="shared" ca="1" si="0"/>
        <v>-6.0758526538568641E-4</v>
      </c>
      <c r="Q67" s="82">
        <f t="shared" si="6"/>
        <v>-37151312656.25</v>
      </c>
      <c r="R67" s="82">
        <f t="shared" ca="1" si="1"/>
        <v>-0.2305005869333055</v>
      </c>
      <c r="S67" s="102">
        <f ca="1">OFFSET($A67,,CHOOSE(Flexion!$A$26,COLUMN($M$9)-1,COLUMN($N$9)-1,COLUMN($P$9)-1,COLUMN($R$9)-1))</f>
        <v>220375</v>
      </c>
    </row>
    <row r="68" spans="1:19" x14ac:dyDescent="0.2">
      <c r="A68" s="83">
        <f t="shared" si="2"/>
        <v>58</v>
      </c>
      <c r="B68" s="83">
        <f>MATCH(Tableau6[[#This Row],[x0]],Flexion!D$11:Z$11,1)</f>
        <v>2</v>
      </c>
      <c r="C68" s="83">
        <f>Tableau6[[#This Row],[N° pas]]*$A$2</f>
        <v>870</v>
      </c>
      <c r="D68" s="101">
        <f>IF($B68=$B67,Tableau6[[#This Row],[x0]],INDEX(Flexion!D$11:Z$11,$B68))</f>
        <v>870</v>
      </c>
      <c r="E68" s="83" t="str">
        <f>IF(B68=B67,"-",VALUE(INDEX(Flexion!D$10:Z$10,Tableau6[[#This Row],[Col.]])))</f>
        <v>-</v>
      </c>
      <c r="F68" s="83" t="str">
        <f>IF(E68="-","-",IF(INDEX(Flexion!D$12:Z$12,Tableau6[[#This Row],[Col.]])="","-",INDEX(Flexion!D$12:Z$12,Tableau6[[#This Row],[Col.]])))</f>
        <v>-</v>
      </c>
      <c r="G68" s="84">
        <f>IF(Tableau6[[#This Row],[Nœud]]&lt;&gt;"-",INDEX(Flexion!D$13:Z$13,Tableau6[[#This Row],[Col.]]),)</f>
        <v>0</v>
      </c>
      <c r="H68" s="83">
        <f>IF(Tableau6[[#This Row],[Appui]]&lt;&gt;"-",INDEX(Flexion!D$14:Z$14,Tableau6[[#This Row],[Col.]]),)</f>
        <v>0</v>
      </c>
      <c r="I68" s="92">
        <f>$I67+($D68-$D67)*(SUM($G$10:$G67,$H$10:$H67))</f>
        <v>-203750</v>
      </c>
      <c r="J68" s="84">
        <f>INDEX(Flexion!D$16:Z$16,Tableau6[[#This Row],[Col.]])*($D69-$D68)</f>
        <v>-30</v>
      </c>
      <c r="K68" s="83">
        <f>IF(B68=B67,0,INDEX(Flexion!D$20:Z$20,Tableau6[[#This Row],[Col.]]))</f>
        <v>0</v>
      </c>
      <c r="L68" s="92">
        <f>$L67+($D68-$D67)*(SUM($J$10:$J67,$K$10:$K67)-$J67/2)</f>
        <v>438450</v>
      </c>
      <c r="M68" s="84">
        <f>Tableau6[[#This Row],[Fr nod.]]+Tableau6[[#This Row],[Fr lin.]]</f>
        <v>0</v>
      </c>
      <c r="N68" s="92">
        <f>Tableau6[[#This Row],[Mt nod.]]+Tableau6[[#This Row],[Mt lin.]]</f>
        <v>234700</v>
      </c>
      <c r="O68" s="82">
        <f t="shared" si="5"/>
        <v>-56903875</v>
      </c>
      <c r="P68" s="82">
        <f t="shared" ca="1" si="0"/>
        <v>-5.9808077499303824E-4</v>
      </c>
      <c r="Q68" s="82">
        <f t="shared" si="6"/>
        <v>-38030468750</v>
      </c>
      <c r="R68" s="82">
        <f t="shared" ca="1" si="1"/>
        <v>-0.23954308223614595</v>
      </c>
      <c r="S68" s="102">
        <f ca="1">OFFSET($A68,,CHOOSE(Flexion!$A$26,COLUMN($M$9)-1,COLUMN($N$9)-1,COLUMN($P$9)-1,COLUMN($R$9)-1))</f>
        <v>234700</v>
      </c>
    </row>
    <row r="69" spans="1:19" x14ac:dyDescent="0.2">
      <c r="A69" s="83">
        <f t="shared" si="2"/>
        <v>59</v>
      </c>
      <c r="B69" s="83">
        <f>MATCH(Tableau6[[#This Row],[x0]],Flexion!D$11:Z$11,1)</f>
        <v>2</v>
      </c>
      <c r="C69" s="83">
        <f>Tableau6[[#This Row],[N° pas]]*$A$2</f>
        <v>885</v>
      </c>
      <c r="D69" s="101">
        <f>IF($B69=$B68,Tableau6[[#This Row],[x0]],INDEX(Flexion!D$11:Z$11,$B69))</f>
        <v>885</v>
      </c>
      <c r="E69" s="83" t="str">
        <f>IF(B69=B68,"-",VALUE(INDEX(Flexion!D$10:Z$10,Tableau6[[#This Row],[Col.]])))</f>
        <v>-</v>
      </c>
      <c r="F69" s="83" t="str">
        <f>IF(E69="-","-",IF(INDEX(Flexion!D$12:Z$12,Tableau6[[#This Row],[Col.]])="","-",INDEX(Flexion!D$12:Z$12,Tableau6[[#This Row],[Col.]])))</f>
        <v>-</v>
      </c>
      <c r="G69" s="84">
        <f>IF(Tableau6[[#This Row],[Nœud]]&lt;&gt;"-",INDEX(Flexion!D$13:Z$13,Tableau6[[#This Row],[Col.]]),)</f>
        <v>0</v>
      </c>
      <c r="H69" s="83">
        <f>IF(Tableau6[[#This Row],[Appui]]&lt;&gt;"-",INDEX(Flexion!D$14:Z$14,Tableau6[[#This Row],[Col.]]),)</f>
        <v>0</v>
      </c>
      <c r="I69" s="92">
        <f>$I68+($D69-$D68)*(SUM($G$10:$G68,$H$10:$H68))</f>
        <v>-201875</v>
      </c>
      <c r="J69" s="84">
        <f>INDEX(Flexion!D$16:Z$16,Tableau6[[#This Row],[Col.]])*($D70-$D69)</f>
        <v>-30</v>
      </c>
      <c r="K69" s="83">
        <f>IF(B69=B68,0,INDEX(Flexion!D$20:Z$20,Tableau6[[#This Row],[Col.]]))</f>
        <v>0</v>
      </c>
      <c r="L69" s="92">
        <f>$L68+($D69-$D68)*(SUM($J$10:$J68,$K$10:$K68)-$J68/2)</f>
        <v>450450</v>
      </c>
      <c r="M69" s="84">
        <f>Tableau6[[#This Row],[Fr nod.]]+Tableau6[[#This Row],[Fr lin.]]</f>
        <v>0</v>
      </c>
      <c r="N69" s="92">
        <f>Tableau6[[#This Row],[Mt nod.]]+Tableau6[[#This Row],[Mt lin.]]</f>
        <v>248575</v>
      </c>
      <c r="O69" s="82">
        <f t="shared" si="5"/>
        <v>-53279312.5</v>
      </c>
      <c r="P69" s="82">
        <f t="shared" ca="1" si="0"/>
        <v>-5.879873121693122E-4</v>
      </c>
      <c r="Q69" s="82">
        <f t="shared" si="6"/>
        <v>-38856842656.25</v>
      </c>
      <c r="R69" s="82">
        <f t="shared" ca="1" si="1"/>
        <v>-0.24843859288986359</v>
      </c>
      <c r="S69" s="102">
        <f ca="1">OFFSET($A69,,CHOOSE(Flexion!$A$26,COLUMN($M$9)-1,COLUMN($N$9)-1,COLUMN($P$9)-1,COLUMN($R$9)-1))</f>
        <v>248575</v>
      </c>
    </row>
    <row r="70" spans="1:19" x14ac:dyDescent="0.2">
      <c r="A70" s="83">
        <f t="shared" si="2"/>
        <v>60</v>
      </c>
      <c r="B70" s="83">
        <f>MATCH(Tableau6[[#This Row],[x0]],Flexion!D$11:Z$11,1)</f>
        <v>2</v>
      </c>
      <c r="C70" s="83">
        <f>Tableau6[[#This Row],[N° pas]]*$A$2</f>
        <v>900</v>
      </c>
      <c r="D70" s="101">
        <f>IF($B70=$B69,Tableau6[[#This Row],[x0]],INDEX(Flexion!D$11:Z$11,$B70))</f>
        <v>900</v>
      </c>
      <c r="E70" s="83" t="str">
        <f>IF(B70=B69,"-",VALUE(INDEX(Flexion!D$10:Z$10,Tableau6[[#This Row],[Col.]])))</f>
        <v>-</v>
      </c>
      <c r="F70" s="83" t="str">
        <f>IF(E70="-","-",IF(INDEX(Flexion!D$12:Z$12,Tableau6[[#This Row],[Col.]])="","-",INDEX(Flexion!D$12:Z$12,Tableau6[[#This Row],[Col.]])))</f>
        <v>-</v>
      </c>
      <c r="G70" s="84">
        <f>IF(Tableau6[[#This Row],[Nœud]]&lt;&gt;"-",INDEX(Flexion!D$13:Z$13,Tableau6[[#This Row],[Col.]]),)</f>
        <v>0</v>
      </c>
      <c r="H70" s="83">
        <f>IF(Tableau6[[#This Row],[Appui]]&lt;&gt;"-",INDEX(Flexion!D$14:Z$14,Tableau6[[#This Row],[Col.]]),)</f>
        <v>0</v>
      </c>
      <c r="I70" s="92">
        <f>$I69+($D70-$D69)*(SUM($G$10:$G69,$H$10:$H69))</f>
        <v>-200000</v>
      </c>
      <c r="J70" s="84">
        <f>INDEX(Flexion!D$16:Z$16,Tableau6[[#This Row],[Col.]])*($D71-$D70)</f>
        <v>-30</v>
      </c>
      <c r="K70" s="83">
        <f>IF(B70=B69,0,INDEX(Flexion!D$20:Z$20,Tableau6[[#This Row],[Col.]]))</f>
        <v>0</v>
      </c>
      <c r="L70" s="92">
        <f>$L69+($D70-$D69)*(SUM($J$10:$J69,$K$10:$K69)-$J69/2)</f>
        <v>462000</v>
      </c>
      <c r="M70" s="84">
        <f>Tableau6[[#This Row],[Fr nod.]]+Tableau6[[#This Row],[Fr lin.]]</f>
        <v>0</v>
      </c>
      <c r="N70" s="92">
        <f>Tableau6[[#This Row],[Mt nod.]]+Tableau6[[#This Row],[Mt lin.]]</f>
        <v>262000</v>
      </c>
      <c r="O70" s="82">
        <f t="shared" si="5"/>
        <v>-49450000</v>
      </c>
      <c r="P70" s="82">
        <f t="shared" ca="1" si="0"/>
        <v>-5.773236739069897E-4</v>
      </c>
      <c r="Q70" s="82">
        <f t="shared" si="6"/>
        <v>-39627312500</v>
      </c>
      <c r="R70" s="82">
        <f t="shared" ca="1" si="1"/>
        <v>-0.25717842528543577</v>
      </c>
      <c r="S70" s="102">
        <f ca="1">OFFSET($A70,,CHOOSE(Flexion!$A$26,COLUMN($M$9)-1,COLUMN($N$9)-1,COLUMN($P$9)-1,COLUMN($R$9)-1))</f>
        <v>262000</v>
      </c>
    </row>
    <row r="71" spans="1:19" x14ac:dyDescent="0.2">
      <c r="A71" s="83">
        <f t="shared" si="2"/>
        <v>61</v>
      </c>
      <c r="B71" s="83">
        <f>MATCH(Tableau6[[#This Row],[x0]],Flexion!D$11:Z$11,1)</f>
        <v>2</v>
      </c>
      <c r="C71" s="83">
        <f>Tableau6[[#This Row],[N° pas]]*$A$2</f>
        <v>915</v>
      </c>
      <c r="D71" s="101">
        <f>IF($B71=$B70,Tableau6[[#This Row],[x0]],INDEX(Flexion!D$11:Z$11,$B71))</f>
        <v>915</v>
      </c>
      <c r="E71" s="83" t="str">
        <f>IF(B71=B70,"-",VALUE(INDEX(Flexion!D$10:Z$10,Tableau6[[#This Row],[Col.]])))</f>
        <v>-</v>
      </c>
      <c r="F71" s="83" t="str">
        <f>IF(E71="-","-",IF(INDEX(Flexion!D$12:Z$12,Tableau6[[#This Row],[Col.]])="","-",INDEX(Flexion!D$12:Z$12,Tableau6[[#This Row],[Col.]])))</f>
        <v>-</v>
      </c>
      <c r="G71" s="84">
        <f>IF(Tableau6[[#This Row],[Nœud]]&lt;&gt;"-",INDEX(Flexion!D$13:Z$13,Tableau6[[#This Row],[Col.]]),)</f>
        <v>0</v>
      </c>
      <c r="H71" s="83">
        <f>IF(Tableau6[[#This Row],[Appui]]&lt;&gt;"-",INDEX(Flexion!D$14:Z$14,Tableau6[[#This Row],[Col.]]),)</f>
        <v>0</v>
      </c>
      <c r="I71" s="92">
        <f>$I70+($D71-$D70)*(SUM($G$10:$G70,$H$10:$H70))</f>
        <v>-198125</v>
      </c>
      <c r="J71" s="84">
        <f>INDEX(Flexion!D$16:Z$16,Tableau6[[#This Row],[Col.]])*($D72-$D71)</f>
        <v>-30</v>
      </c>
      <c r="K71" s="83">
        <f>IF(B71=B70,0,INDEX(Flexion!D$20:Z$20,Tableau6[[#This Row],[Col.]]))</f>
        <v>0</v>
      </c>
      <c r="L71" s="92">
        <f>$L70+($D71-$D70)*(SUM($J$10:$J70,$K$10:$K70)-$J70/2)</f>
        <v>473100</v>
      </c>
      <c r="M71" s="84">
        <f>Tableau6[[#This Row],[Fr nod.]]+Tableau6[[#This Row],[Fr lin.]]</f>
        <v>0</v>
      </c>
      <c r="N71" s="92">
        <f>Tableau6[[#This Row],[Mt nod.]]+Tableau6[[#This Row],[Mt lin.]]</f>
        <v>274975</v>
      </c>
      <c r="O71" s="82">
        <f t="shared" si="5"/>
        <v>-45422687.5</v>
      </c>
      <c r="P71" s="82">
        <f t="shared" ca="1" si="0"/>
        <v>-5.6610865719855193E-4</v>
      </c>
      <c r="Q71" s="82">
        <f t="shared" si="6"/>
        <v>-40338857656.25</v>
      </c>
      <c r="R71" s="82">
        <f t="shared" ca="1" si="1"/>
        <v>-0.2657541677687274</v>
      </c>
      <c r="S71" s="102">
        <f ca="1">OFFSET($A71,,CHOOSE(Flexion!$A$26,COLUMN($M$9)-1,COLUMN($N$9)-1,COLUMN($P$9)-1,COLUMN($R$9)-1))</f>
        <v>274975</v>
      </c>
    </row>
    <row r="72" spans="1:19" x14ac:dyDescent="0.2">
      <c r="A72" s="83">
        <f t="shared" si="2"/>
        <v>62</v>
      </c>
      <c r="B72" s="83">
        <f>MATCH(Tableau6[[#This Row],[x0]],Flexion!D$11:Z$11,1)</f>
        <v>2</v>
      </c>
      <c r="C72" s="83">
        <f>Tableau6[[#This Row],[N° pas]]*$A$2</f>
        <v>930</v>
      </c>
      <c r="D72" s="101">
        <f>IF($B72=$B71,Tableau6[[#This Row],[x0]],INDEX(Flexion!D$11:Z$11,$B72))</f>
        <v>930</v>
      </c>
      <c r="E72" s="83" t="str">
        <f>IF(B72=B71,"-",VALUE(INDEX(Flexion!D$10:Z$10,Tableau6[[#This Row],[Col.]])))</f>
        <v>-</v>
      </c>
      <c r="F72" s="83" t="str">
        <f>IF(E72="-","-",IF(INDEX(Flexion!D$12:Z$12,Tableau6[[#This Row],[Col.]])="","-",INDEX(Flexion!D$12:Z$12,Tableau6[[#This Row],[Col.]])))</f>
        <v>-</v>
      </c>
      <c r="G72" s="84">
        <f>IF(Tableau6[[#This Row],[Nœud]]&lt;&gt;"-",INDEX(Flexion!D$13:Z$13,Tableau6[[#This Row],[Col.]]),)</f>
        <v>0</v>
      </c>
      <c r="H72" s="83">
        <f>IF(Tableau6[[#This Row],[Appui]]&lt;&gt;"-",INDEX(Flexion!D$14:Z$14,Tableau6[[#This Row],[Col.]]),)</f>
        <v>0</v>
      </c>
      <c r="I72" s="92">
        <f>$I71+($D72-$D71)*(SUM($G$10:$G71,$H$10:$H71))</f>
        <v>-196250</v>
      </c>
      <c r="J72" s="84">
        <f>INDEX(Flexion!D$16:Z$16,Tableau6[[#This Row],[Col.]])*($D73-$D72)</f>
        <v>-30</v>
      </c>
      <c r="K72" s="83">
        <f>IF(B72=B71,0,INDEX(Flexion!D$20:Z$20,Tableau6[[#This Row],[Col.]]))</f>
        <v>0</v>
      </c>
      <c r="L72" s="92">
        <f>$L71+($D72-$D71)*(SUM($J$10:$J71,$K$10:$K71)-$J71/2)</f>
        <v>483750</v>
      </c>
      <c r="M72" s="84">
        <f>Tableau6[[#This Row],[Fr nod.]]+Tableau6[[#This Row],[Fr lin.]]</f>
        <v>0</v>
      </c>
      <c r="N72" s="92">
        <f>Tableau6[[#This Row],[Mt nod.]]+Tableau6[[#This Row],[Mt lin.]]</f>
        <v>287500</v>
      </c>
      <c r="O72" s="82">
        <f t="shared" si="5"/>
        <v>-41204125</v>
      </c>
      <c r="P72" s="82">
        <f t="shared" ca="1" si="0"/>
        <v>-5.5436105903648009E-4</v>
      </c>
      <c r="Q72" s="82">
        <f t="shared" si="6"/>
        <v>-40988558750</v>
      </c>
      <c r="R72" s="82">
        <f t="shared" ca="1" si="1"/>
        <v>-0.27415769064049011</v>
      </c>
      <c r="S72" s="102">
        <f ca="1">OFFSET($A72,,CHOOSE(Flexion!$A$26,COLUMN($M$9)-1,COLUMN($N$9)-1,COLUMN($P$9)-1,COLUMN($R$9)-1))</f>
        <v>287500</v>
      </c>
    </row>
    <row r="73" spans="1:19" x14ac:dyDescent="0.2">
      <c r="A73" s="83">
        <f t="shared" si="2"/>
        <v>63</v>
      </c>
      <c r="B73" s="83">
        <f>MATCH(Tableau6[[#This Row],[x0]],Flexion!D$11:Z$11,1)</f>
        <v>2</v>
      </c>
      <c r="C73" s="83">
        <f>Tableau6[[#This Row],[N° pas]]*$A$2</f>
        <v>945</v>
      </c>
      <c r="D73" s="101">
        <f>IF($B73=$B72,Tableau6[[#This Row],[x0]],INDEX(Flexion!D$11:Z$11,$B73))</f>
        <v>945</v>
      </c>
      <c r="E73" s="83" t="str">
        <f>IF(B73=B72,"-",VALUE(INDEX(Flexion!D$10:Z$10,Tableau6[[#This Row],[Col.]])))</f>
        <v>-</v>
      </c>
      <c r="F73" s="83" t="str">
        <f>IF(E73="-","-",IF(INDEX(Flexion!D$12:Z$12,Tableau6[[#This Row],[Col.]])="","-",INDEX(Flexion!D$12:Z$12,Tableau6[[#This Row],[Col.]])))</f>
        <v>-</v>
      </c>
      <c r="G73" s="84">
        <f>IF(Tableau6[[#This Row],[Nœud]]&lt;&gt;"-",INDEX(Flexion!D$13:Z$13,Tableau6[[#This Row],[Col.]]),)</f>
        <v>0</v>
      </c>
      <c r="H73" s="83">
        <f>IF(Tableau6[[#This Row],[Appui]]&lt;&gt;"-",INDEX(Flexion!D$14:Z$14,Tableau6[[#This Row],[Col.]]),)</f>
        <v>0</v>
      </c>
      <c r="I73" s="92">
        <f>$I72+($D73-$D72)*(SUM($G$10:$G72,$H$10:$H72))</f>
        <v>-194375</v>
      </c>
      <c r="J73" s="84">
        <f>INDEX(Flexion!D$16:Z$16,Tableau6[[#This Row],[Col.]])*($D74-$D73)</f>
        <v>-30</v>
      </c>
      <c r="K73" s="83">
        <f>IF(B73=B72,0,INDEX(Flexion!D$20:Z$20,Tableau6[[#This Row],[Col.]]))</f>
        <v>0</v>
      </c>
      <c r="L73" s="92">
        <f>$L72+($D73-$D72)*(SUM($J$10:$J72,$K$10:$K72)-$J72/2)</f>
        <v>493950</v>
      </c>
      <c r="M73" s="84">
        <f>Tableau6[[#This Row],[Fr nod.]]+Tableau6[[#This Row],[Fr lin.]]</f>
        <v>0</v>
      </c>
      <c r="N73" s="92">
        <f>Tableau6[[#This Row],[Mt nod.]]+Tableau6[[#This Row],[Mt lin.]]</f>
        <v>299575</v>
      </c>
      <c r="O73" s="82">
        <f t="shared" si="5"/>
        <v>-36801062.5</v>
      </c>
      <c r="P73" s="82">
        <f t="shared" ca="1" si="0"/>
        <v>-5.4209967641325536E-4</v>
      </c>
      <c r="Q73" s="82">
        <f t="shared" si="6"/>
        <v>-41573597656.25</v>
      </c>
      <c r="R73" s="82">
        <f t="shared" ca="1" si="1"/>
        <v>-0.28238114615636312</v>
      </c>
      <c r="S73" s="102">
        <f ca="1">OFFSET($A73,,CHOOSE(Flexion!$A$26,COLUMN($M$9)-1,COLUMN($N$9)-1,COLUMN($P$9)-1,COLUMN($R$9)-1))</f>
        <v>299575</v>
      </c>
    </row>
    <row r="74" spans="1:19" x14ac:dyDescent="0.2">
      <c r="A74" s="83">
        <f t="shared" ref="A74:A137" si="7">A73+1</f>
        <v>64</v>
      </c>
      <c r="B74" s="83">
        <f>MATCH(Tableau6[[#This Row],[x0]],Flexion!D$11:Z$11,1)</f>
        <v>2</v>
      </c>
      <c r="C74" s="83">
        <f>Tableau6[[#This Row],[N° pas]]*$A$2</f>
        <v>960</v>
      </c>
      <c r="D74" s="101">
        <f>IF($B74=$B73,Tableau6[[#This Row],[x0]],INDEX(Flexion!D$11:Z$11,$B74))</f>
        <v>960</v>
      </c>
      <c r="E74" s="83" t="str">
        <f>IF(B74=B73,"-",VALUE(INDEX(Flexion!D$10:Z$10,Tableau6[[#This Row],[Col.]])))</f>
        <v>-</v>
      </c>
      <c r="F74" s="83" t="str">
        <f>IF(E74="-","-",IF(INDEX(Flexion!D$12:Z$12,Tableau6[[#This Row],[Col.]])="","-",INDEX(Flexion!D$12:Z$12,Tableau6[[#This Row],[Col.]])))</f>
        <v>-</v>
      </c>
      <c r="G74" s="84">
        <f>IF(Tableau6[[#This Row],[Nœud]]&lt;&gt;"-",INDEX(Flexion!D$13:Z$13,Tableau6[[#This Row],[Col.]]),)</f>
        <v>0</v>
      </c>
      <c r="H74" s="83">
        <f>IF(Tableau6[[#This Row],[Appui]]&lt;&gt;"-",INDEX(Flexion!D$14:Z$14,Tableau6[[#This Row],[Col.]]),)</f>
        <v>0</v>
      </c>
      <c r="I74" s="92">
        <f>$I73+($D74-$D73)*(SUM($G$10:$G73,$H$10:$H73))</f>
        <v>-192500</v>
      </c>
      <c r="J74" s="84">
        <f>INDEX(Flexion!D$16:Z$16,Tableau6[[#This Row],[Col.]])*($D75-$D74)</f>
        <v>-30</v>
      </c>
      <c r="K74" s="83">
        <f>IF(B74=B73,0,INDEX(Flexion!D$20:Z$20,Tableau6[[#This Row],[Col.]]))</f>
        <v>0</v>
      </c>
      <c r="L74" s="92">
        <f>$L73+($D74-$D73)*(SUM($J$10:$J73,$K$10:$K73)-$J73/2)</f>
        <v>503700</v>
      </c>
      <c r="M74" s="84">
        <f>Tableau6[[#This Row],[Fr nod.]]+Tableau6[[#This Row],[Fr lin.]]</f>
        <v>0</v>
      </c>
      <c r="N74" s="92">
        <f>Tableau6[[#This Row],[Mt nod.]]+Tableau6[[#This Row],[Mt lin.]]</f>
        <v>311200</v>
      </c>
      <c r="O74" s="82">
        <f t="shared" si="5"/>
        <v>-32220250</v>
      </c>
      <c r="P74" s="82">
        <f t="shared" ref="P74:P137" ca="1" si="8">$L$2*O74+$L$3</f>
        <v>-5.2934330632135895E-4</v>
      </c>
      <c r="Q74" s="82">
        <f t="shared" si="6"/>
        <v>-42091257500</v>
      </c>
      <c r="R74" s="82">
        <f t="shared" ref="R74:R137" ca="1" si="9">$L$2*Q74+$L$3*D74+$L$4</f>
        <v>-0.29041696852687282</v>
      </c>
      <c r="S74" s="102">
        <f ca="1">OFFSET($A74,,CHOOSE(Flexion!$A$26,COLUMN($M$9)-1,COLUMN($N$9)-1,COLUMN($P$9)-1,COLUMN($R$9)-1))</f>
        <v>311200</v>
      </c>
    </row>
    <row r="75" spans="1:19" x14ac:dyDescent="0.2">
      <c r="A75" s="83">
        <f t="shared" si="7"/>
        <v>65</v>
      </c>
      <c r="B75" s="83">
        <f>MATCH(Tableau6[[#This Row],[x0]],Flexion!D$11:Z$11,1)</f>
        <v>2</v>
      </c>
      <c r="C75" s="83">
        <f>Tableau6[[#This Row],[N° pas]]*$A$2</f>
        <v>975</v>
      </c>
      <c r="D75" s="101">
        <f>IF($B75=$B74,Tableau6[[#This Row],[x0]],INDEX(Flexion!D$11:Z$11,$B75))</f>
        <v>975</v>
      </c>
      <c r="E75" s="83" t="str">
        <f>IF(B75=B74,"-",VALUE(INDEX(Flexion!D$10:Z$10,Tableau6[[#This Row],[Col.]])))</f>
        <v>-</v>
      </c>
      <c r="F75" s="83" t="str">
        <f>IF(E75="-","-",IF(INDEX(Flexion!D$12:Z$12,Tableau6[[#This Row],[Col.]])="","-",INDEX(Flexion!D$12:Z$12,Tableau6[[#This Row],[Col.]])))</f>
        <v>-</v>
      </c>
      <c r="G75" s="84">
        <f>IF(Tableau6[[#This Row],[Nœud]]&lt;&gt;"-",INDEX(Flexion!D$13:Z$13,Tableau6[[#This Row],[Col.]]),)</f>
        <v>0</v>
      </c>
      <c r="H75" s="83">
        <f>IF(Tableau6[[#This Row],[Appui]]&lt;&gt;"-",INDEX(Flexion!D$14:Z$14,Tableau6[[#This Row],[Col.]]),)</f>
        <v>0</v>
      </c>
      <c r="I75" s="92">
        <f>$I74+($D75-$D74)*(SUM($G$10:$G74,$H$10:$H74))</f>
        <v>-190625</v>
      </c>
      <c r="J75" s="84">
        <f>INDEX(Flexion!D$16:Z$16,Tableau6[[#This Row],[Col.]])*($D76-$D75)</f>
        <v>-30</v>
      </c>
      <c r="K75" s="83">
        <f>IF(B75=B74,0,INDEX(Flexion!D$20:Z$20,Tableau6[[#This Row],[Col.]]))</f>
        <v>0</v>
      </c>
      <c r="L75" s="92">
        <f>$L74+($D75-$D74)*(SUM($J$10:$J74,$K$10:$K74)-$J74/2)</f>
        <v>513000</v>
      </c>
      <c r="M75" s="84">
        <f>Tableau6[[#This Row],[Fr nod.]]+Tableau6[[#This Row],[Fr lin.]]</f>
        <v>0</v>
      </c>
      <c r="N75" s="92">
        <f>Tableau6[[#This Row],[Mt nod.]]+Tableau6[[#This Row],[Mt lin.]]</f>
        <v>322375</v>
      </c>
      <c r="O75" s="82">
        <f t="shared" ref="O75:O106" si="10">(D75-D74)*(N75+N74)/2+O74</f>
        <v>-27468437.5</v>
      </c>
      <c r="P75" s="82">
        <f t="shared" ca="1" si="8"/>
        <v>-5.1611074575327214E-4</v>
      </c>
      <c r="Q75" s="82">
        <f t="shared" ref="Q75:Q106" si="11">Q74+((D75-D74)*(O75+O74)/2)</f>
        <v>-42538922656.25</v>
      </c>
      <c r="R75" s="82">
        <f t="shared" ca="1" si="9"/>
        <v>-0.29825787391743253</v>
      </c>
      <c r="S75" s="102">
        <f ca="1">OFFSET($A75,,CHOOSE(Flexion!$A$26,COLUMN($M$9)-1,COLUMN($N$9)-1,COLUMN($P$9)-1,COLUMN($R$9)-1))</f>
        <v>322375</v>
      </c>
    </row>
    <row r="76" spans="1:19" x14ac:dyDescent="0.2">
      <c r="A76" s="83">
        <f t="shared" si="7"/>
        <v>66</v>
      </c>
      <c r="B76" s="83">
        <f>MATCH(Tableau6[[#This Row],[x0]],Flexion!D$11:Z$11,1)</f>
        <v>2</v>
      </c>
      <c r="C76" s="83">
        <f>Tableau6[[#This Row],[N° pas]]*$A$2</f>
        <v>990</v>
      </c>
      <c r="D76" s="101">
        <f>IF($B76=$B75,Tableau6[[#This Row],[x0]],INDEX(Flexion!D$11:Z$11,$B76))</f>
        <v>990</v>
      </c>
      <c r="E76" s="83" t="str">
        <f>IF(B76=B75,"-",VALUE(INDEX(Flexion!D$10:Z$10,Tableau6[[#This Row],[Col.]])))</f>
        <v>-</v>
      </c>
      <c r="F76" s="83" t="str">
        <f>IF(E76="-","-",IF(INDEX(Flexion!D$12:Z$12,Tableau6[[#This Row],[Col.]])="","-",INDEX(Flexion!D$12:Z$12,Tableau6[[#This Row],[Col.]])))</f>
        <v>-</v>
      </c>
      <c r="G76" s="84">
        <f>IF(Tableau6[[#This Row],[Nœud]]&lt;&gt;"-",INDEX(Flexion!D$13:Z$13,Tableau6[[#This Row],[Col.]]),)</f>
        <v>0</v>
      </c>
      <c r="H76" s="83">
        <f>IF(Tableau6[[#This Row],[Appui]]&lt;&gt;"-",INDEX(Flexion!D$14:Z$14,Tableau6[[#This Row],[Col.]]),)</f>
        <v>0</v>
      </c>
      <c r="I76" s="92">
        <f>$I75+($D76-$D75)*(SUM($G$10:$G75,$H$10:$H75))</f>
        <v>-188750</v>
      </c>
      <c r="J76" s="84">
        <f>INDEX(Flexion!D$16:Z$16,Tableau6[[#This Row],[Col.]])*($D77-$D76)</f>
        <v>-20</v>
      </c>
      <c r="K76" s="83">
        <f>IF(B76=B75,0,INDEX(Flexion!D$20:Z$20,Tableau6[[#This Row],[Col.]]))</f>
        <v>0</v>
      </c>
      <c r="L76" s="92">
        <f>$L75+($D76-$D75)*(SUM($J$10:$J75,$K$10:$K75)-$J75/2)</f>
        <v>521850</v>
      </c>
      <c r="M76" s="84">
        <f>Tableau6[[#This Row],[Fr nod.]]+Tableau6[[#This Row],[Fr lin.]]</f>
        <v>0</v>
      </c>
      <c r="N76" s="92">
        <f>Tableau6[[#This Row],[Mt nod.]]+Tableau6[[#This Row],[Mt lin.]]</f>
        <v>333100</v>
      </c>
      <c r="O76" s="82">
        <f t="shared" si="10"/>
        <v>-22552375</v>
      </c>
      <c r="P76" s="82">
        <f t="shared" ca="1" si="8"/>
        <v>-5.0242079170147592E-4</v>
      </c>
      <c r="Q76" s="82">
        <f t="shared" si="11"/>
        <v>-42914078750</v>
      </c>
      <c r="R76" s="82">
        <f t="shared" ca="1" si="9"/>
        <v>-0.30589686044834308</v>
      </c>
      <c r="S76" s="102">
        <f ca="1">OFFSET($A76,,CHOOSE(Flexion!$A$26,COLUMN($M$9)-1,COLUMN($N$9)-1,COLUMN($P$9)-1,COLUMN($R$9)-1))</f>
        <v>333100</v>
      </c>
    </row>
    <row r="77" spans="1:19" x14ac:dyDescent="0.2">
      <c r="A77" s="83">
        <f t="shared" si="7"/>
        <v>67</v>
      </c>
      <c r="B77" s="83">
        <f>MATCH(Tableau6[[#This Row],[x0]],Flexion!D$11:Z$11,1)</f>
        <v>3</v>
      </c>
      <c r="C77" s="83">
        <f>Tableau6[[#This Row],[N° pas]]*$A$2</f>
        <v>1005</v>
      </c>
      <c r="D77" s="101">
        <f>IF($B77=$B76,Tableau6[[#This Row],[x0]],INDEX(Flexion!D$11:Z$11,$B77))</f>
        <v>1000</v>
      </c>
      <c r="E77" s="83">
        <f>IF(B77=B76,"-",VALUE(INDEX(Flexion!D$10:Z$10,Tableau6[[#This Row],[Col.]])))</f>
        <v>3</v>
      </c>
      <c r="F77" s="83" t="str">
        <f>IF(E77="-","-",IF(INDEX(Flexion!D$12:Z$12,Tableau6[[#This Row],[Col.]])="","-",INDEX(Flexion!D$12:Z$12,Tableau6[[#This Row],[Col.]])))</f>
        <v>-</v>
      </c>
      <c r="G77" s="84">
        <f>IF(Tableau6[[#This Row],[Nœud]]&lt;&gt;"-",INDEX(Flexion!D$13:Z$13,Tableau6[[#This Row],[Col.]]),)</f>
        <v>0</v>
      </c>
      <c r="H77" s="83">
        <f>IF(Tableau6[[#This Row],[Appui]]&lt;&gt;"-",INDEX(Flexion!D$14:Z$14,Tableau6[[#This Row],[Col.]]),)</f>
        <v>0</v>
      </c>
      <c r="I77" s="92">
        <f>$I76+($D77-$D76)*(SUM($G$10:$G76,$H$10:$H76))</f>
        <v>-187500</v>
      </c>
      <c r="J77" s="84">
        <f>INDEX(Flexion!D$16:Z$16,Tableau6[[#This Row],[Col.]])*($D78-$D77)</f>
        <v>-40</v>
      </c>
      <c r="K77" s="83">
        <f>IF(B77=B76,0,INDEX(Flexion!D$20:Z$20,Tableau6[[#This Row],[Col.]]))</f>
        <v>0</v>
      </c>
      <c r="L77" s="92">
        <f>$L76+($D77-$D76)*(SUM($J$10:$J76,$K$10:$K76)-$J76/2)</f>
        <v>527500</v>
      </c>
      <c r="M77" s="84">
        <f>Tableau6[[#This Row],[Fr nod.]]+Tableau6[[#This Row],[Fr lin.]]</f>
        <v>0</v>
      </c>
      <c r="N77" s="92">
        <f>Tableau6[[#This Row],[Mt nod.]]+Tableau6[[#This Row],[Mt lin.]]</f>
        <v>340000</v>
      </c>
      <c r="O77" s="82">
        <f t="shared" si="10"/>
        <v>-19186875</v>
      </c>
      <c r="P77" s="82">
        <f t="shared" ca="1" si="8"/>
        <v>-4.9304875048732945E-4</v>
      </c>
      <c r="Q77" s="82">
        <f t="shared" si="11"/>
        <v>-43122775000</v>
      </c>
      <c r="R77" s="82">
        <f t="shared" ca="1" si="9"/>
        <v>-0.31087420815928712</v>
      </c>
      <c r="S77" s="102">
        <f ca="1">OFFSET($A77,,CHOOSE(Flexion!$A$26,COLUMN($M$9)-1,COLUMN($N$9)-1,COLUMN($P$9)-1,COLUMN($R$9)-1))</f>
        <v>340000</v>
      </c>
    </row>
    <row r="78" spans="1:19" x14ac:dyDescent="0.2">
      <c r="A78" s="83">
        <f t="shared" si="7"/>
        <v>68</v>
      </c>
      <c r="B78" s="83">
        <f>MATCH(Tableau6[[#This Row],[x0]],Flexion!D$11:Z$11,1)</f>
        <v>3</v>
      </c>
      <c r="C78" s="83">
        <f>Tableau6[[#This Row],[N° pas]]*$A$2</f>
        <v>1020</v>
      </c>
      <c r="D78" s="101">
        <f>IF($B78=$B77,Tableau6[[#This Row],[x0]],INDEX(Flexion!D$11:Z$11,$B78))</f>
        <v>1020</v>
      </c>
      <c r="E78" s="83" t="str">
        <f>IF(B78=B77,"-",VALUE(INDEX(Flexion!D$10:Z$10,Tableau6[[#This Row],[Col.]])))</f>
        <v>-</v>
      </c>
      <c r="F78" s="83" t="str">
        <f>IF(E78="-","-",IF(INDEX(Flexion!D$12:Z$12,Tableau6[[#This Row],[Col.]])="","-",INDEX(Flexion!D$12:Z$12,Tableau6[[#This Row],[Col.]])))</f>
        <v>-</v>
      </c>
      <c r="G78" s="84">
        <f>IF(Tableau6[[#This Row],[Nœud]]&lt;&gt;"-",INDEX(Flexion!D$13:Z$13,Tableau6[[#This Row],[Col.]]),)</f>
        <v>0</v>
      </c>
      <c r="H78" s="83">
        <f>IF(Tableau6[[#This Row],[Appui]]&lt;&gt;"-",INDEX(Flexion!D$14:Z$14,Tableau6[[#This Row],[Col.]]),)</f>
        <v>0</v>
      </c>
      <c r="I78" s="92">
        <f>$I77+($D78-$D77)*(SUM($G$10:$G77,$H$10:$H77))</f>
        <v>-185000</v>
      </c>
      <c r="J78" s="84">
        <f>INDEX(Flexion!D$16:Z$16,Tableau6[[#This Row],[Col.]])*($D79-$D78)</f>
        <v>-30</v>
      </c>
      <c r="K78" s="83">
        <f>IF(B78=B77,0,INDEX(Flexion!D$20:Z$20,Tableau6[[#This Row],[Col.]]))</f>
        <v>0</v>
      </c>
      <c r="L78" s="92">
        <f>$L77+($D78-$D77)*(SUM($J$10:$J77,$K$10:$K77)-$J77/2)</f>
        <v>538200</v>
      </c>
      <c r="M78" s="84">
        <f>Tableau6[[#This Row],[Fr nod.]]+Tableau6[[#This Row],[Fr lin.]]</f>
        <v>0</v>
      </c>
      <c r="N78" s="92">
        <f>Tableau6[[#This Row],[Mt nod.]]+Tableau6[[#This Row],[Mt lin.]]</f>
        <v>353200</v>
      </c>
      <c r="O78" s="82">
        <f t="shared" si="10"/>
        <v>-12254875</v>
      </c>
      <c r="P78" s="82">
        <f t="shared" ca="1" si="8"/>
        <v>-4.7374493539404066E-4</v>
      </c>
      <c r="Q78" s="82">
        <f t="shared" si="11"/>
        <v>-43437192500</v>
      </c>
      <c r="R78" s="82">
        <f t="shared" ca="1" si="9"/>
        <v>-0.32054214501810085</v>
      </c>
      <c r="S78" s="102">
        <f ca="1">OFFSET($A78,,CHOOSE(Flexion!$A$26,COLUMN($M$9)-1,COLUMN($N$9)-1,COLUMN($P$9)-1,COLUMN($R$9)-1))</f>
        <v>353200</v>
      </c>
    </row>
    <row r="79" spans="1:19" x14ac:dyDescent="0.2">
      <c r="A79" s="83">
        <f t="shared" si="7"/>
        <v>69</v>
      </c>
      <c r="B79" s="83">
        <f>MATCH(Tableau6[[#This Row],[x0]],Flexion!D$11:Z$11,1)</f>
        <v>3</v>
      </c>
      <c r="C79" s="83">
        <f>Tableau6[[#This Row],[N° pas]]*$A$2</f>
        <v>1035</v>
      </c>
      <c r="D79" s="101">
        <f>IF($B79=$B78,Tableau6[[#This Row],[x0]],INDEX(Flexion!D$11:Z$11,$B79))</f>
        <v>1035</v>
      </c>
      <c r="E79" s="83" t="str">
        <f>IF(B79=B78,"-",VALUE(INDEX(Flexion!D$10:Z$10,Tableau6[[#This Row],[Col.]])))</f>
        <v>-</v>
      </c>
      <c r="F79" s="83" t="str">
        <f>IF(E79="-","-",IF(INDEX(Flexion!D$12:Z$12,Tableau6[[#This Row],[Col.]])="","-",INDEX(Flexion!D$12:Z$12,Tableau6[[#This Row],[Col.]])))</f>
        <v>-</v>
      </c>
      <c r="G79" s="84">
        <f>IF(Tableau6[[#This Row],[Nœud]]&lt;&gt;"-",INDEX(Flexion!D$13:Z$13,Tableau6[[#This Row],[Col.]]),)</f>
        <v>0</v>
      </c>
      <c r="H79" s="83">
        <f>IF(Tableau6[[#This Row],[Appui]]&lt;&gt;"-",INDEX(Flexion!D$14:Z$14,Tableau6[[#This Row],[Col.]]),)</f>
        <v>0</v>
      </c>
      <c r="I79" s="92">
        <f>$I78+($D79-$D78)*(SUM($G$10:$G78,$H$10:$H78))</f>
        <v>-183125</v>
      </c>
      <c r="J79" s="84">
        <f>INDEX(Flexion!D$16:Z$16,Tableau6[[#This Row],[Col.]])*($D80-$D79)</f>
        <v>-30</v>
      </c>
      <c r="K79" s="83">
        <f>IF(B79=B78,0,INDEX(Flexion!D$20:Z$20,Tableau6[[#This Row],[Col.]]))</f>
        <v>0</v>
      </c>
      <c r="L79" s="92">
        <f>$L78+($D79-$D78)*(SUM($J$10:$J78,$K$10:$K78)-$J78/2)</f>
        <v>545700</v>
      </c>
      <c r="M79" s="84">
        <f>Tableau6[[#This Row],[Fr nod.]]+Tableau6[[#This Row],[Fr lin.]]</f>
        <v>0</v>
      </c>
      <c r="N79" s="92">
        <f>Tableau6[[#This Row],[Mt nod.]]+Tableau6[[#This Row],[Mt lin.]]</f>
        <v>362575</v>
      </c>
      <c r="O79" s="82">
        <f t="shared" si="10"/>
        <v>-6886562.5</v>
      </c>
      <c r="P79" s="82">
        <f t="shared" ca="1" si="8"/>
        <v>-4.587955828460039E-4</v>
      </c>
      <c r="Q79" s="82">
        <f t="shared" si="11"/>
        <v>-43580753281.25</v>
      </c>
      <c r="R79" s="82">
        <f t="shared" ca="1" si="9"/>
        <v>-0.32753619890490115</v>
      </c>
      <c r="S79" s="102">
        <f ca="1">OFFSET($A79,,CHOOSE(Flexion!$A$26,COLUMN($M$9)-1,COLUMN($N$9)-1,COLUMN($P$9)-1,COLUMN($R$9)-1))</f>
        <v>362575</v>
      </c>
    </row>
    <row r="80" spans="1:19" x14ac:dyDescent="0.2">
      <c r="A80" s="83">
        <f t="shared" si="7"/>
        <v>70</v>
      </c>
      <c r="B80" s="83">
        <f>MATCH(Tableau6[[#This Row],[x0]],Flexion!D$11:Z$11,1)</f>
        <v>3</v>
      </c>
      <c r="C80" s="83">
        <f>Tableau6[[#This Row],[N° pas]]*$A$2</f>
        <v>1050</v>
      </c>
      <c r="D80" s="101">
        <f>IF($B80=$B79,Tableau6[[#This Row],[x0]],INDEX(Flexion!D$11:Z$11,$B80))</f>
        <v>1050</v>
      </c>
      <c r="E80" s="83" t="str">
        <f>IF(B80=B79,"-",VALUE(INDEX(Flexion!D$10:Z$10,Tableau6[[#This Row],[Col.]])))</f>
        <v>-</v>
      </c>
      <c r="F80" s="83" t="str">
        <f>IF(E80="-","-",IF(INDEX(Flexion!D$12:Z$12,Tableau6[[#This Row],[Col.]])="","-",INDEX(Flexion!D$12:Z$12,Tableau6[[#This Row],[Col.]])))</f>
        <v>-</v>
      </c>
      <c r="G80" s="84">
        <f>IF(Tableau6[[#This Row],[Nœud]]&lt;&gt;"-",INDEX(Flexion!D$13:Z$13,Tableau6[[#This Row],[Col.]]),)</f>
        <v>0</v>
      </c>
      <c r="H80" s="83">
        <f>IF(Tableau6[[#This Row],[Appui]]&lt;&gt;"-",INDEX(Flexion!D$14:Z$14,Tableau6[[#This Row],[Col.]]),)</f>
        <v>0</v>
      </c>
      <c r="I80" s="92">
        <f>$I79+($D80-$D79)*(SUM($G$10:$G79,$H$10:$H79))</f>
        <v>-181250</v>
      </c>
      <c r="J80" s="84">
        <f>INDEX(Flexion!D$16:Z$16,Tableau6[[#This Row],[Col.]])*($D81-$D80)</f>
        <v>-30</v>
      </c>
      <c r="K80" s="83">
        <f>IF(B80=B79,0,INDEX(Flexion!D$20:Z$20,Tableau6[[#This Row],[Col.]]))</f>
        <v>0</v>
      </c>
      <c r="L80" s="92">
        <f>$L79+($D80-$D79)*(SUM($J$10:$J79,$K$10:$K79)-$J79/2)</f>
        <v>552750</v>
      </c>
      <c r="M80" s="84">
        <f>Tableau6[[#This Row],[Fr nod.]]+Tableau6[[#This Row],[Fr lin.]]</f>
        <v>0</v>
      </c>
      <c r="N80" s="92">
        <f>Tableau6[[#This Row],[Mt nod.]]+Tableau6[[#This Row],[Mt lin.]]</f>
        <v>371500</v>
      </c>
      <c r="O80" s="82">
        <f t="shared" si="10"/>
        <v>-1381000</v>
      </c>
      <c r="P80" s="82">
        <f t="shared" ca="1" si="8"/>
        <v>-4.434640247841827E-4</v>
      </c>
      <c r="Q80" s="82">
        <f t="shared" si="11"/>
        <v>-43642760000</v>
      </c>
      <c r="R80" s="82">
        <f t="shared" ca="1" si="9"/>
        <v>-0.33430314596212751</v>
      </c>
      <c r="S80" s="102">
        <f ca="1">OFFSET($A80,,CHOOSE(Flexion!$A$26,COLUMN($M$9)-1,COLUMN($N$9)-1,COLUMN($P$9)-1,COLUMN($R$9)-1))</f>
        <v>371500</v>
      </c>
    </row>
    <row r="81" spans="1:19" x14ac:dyDescent="0.2">
      <c r="A81" s="83">
        <f t="shared" si="7"/>
        <v>71</v>
      </c>
      <c r="B81" s="83">
        <f>MATCH(Tableau6[[#This Row],[x0]],Flexion!D$11:Z$11,1)</f>
        <v>3</v>
      </c>
      <c r="C81" s="83">
        <f>Tableau6[[#This Row],[N° pas]]*$A$2</f>
        <v>1065</v>
      </c>
      <c r="D81" s="101">
        <f>IF($B81=$B80,Tableau6[[#This Row],[x0]],INDEX(Flexion!D$11:Z$11,$B81))</f>
        <v>1065</v>
      </c>
      <c r="E81" s="83" t="str">
        <f>IF(B81=B80,"-",VALUE(INDEX(Flexion!D$10:Z$10,Tableau6[[#This Row],[Col.]])))</f>
        <v>-</v>
      </c>
      <c r="F81" s="83" t="str">
        <f>IF(E81="-","-",IF(INDEX(Flexion!D$12:Z$12,Tableau6[[#This Row],[Col.]])="","-",INDEX(Flexion!D$12:Z$12,Tableau6[[#This Row],[Col.]])))</f>
        <v>-</v>
      </c>
      <c r="G81" s="84">
        <f>IF(Tableau6[[#This Row],[Nœud]]&lt;&gt;"-",INDEX(Flexion!D$13:Z$13,Tableau6[[#This Row],[Col.]]),)</f>
        <v>0</v>
      </c>
      <c r="H81" s="83">
        <f>IF(Tableau6[[#This Row],[Appui]]&lt;&gt;"-",INDEX(Flexion!D$14:Z$14,Tableau6[[#This Row],[Col.]]),)</f>
        <v>0</v>
      </c>
      <c r="I81" s="92">
        <f>$I80+($D81-$D80)*(SUM($G$10:$G80,$H$10:$H80))</f>
        <v>-179375</v>
      </c>
      <c r="J81" s="84">
        <f>INDEX(Flexion!D$16:Z$16,Tableau6[[#This Row],[Col.]])*($D82-$D81)</f>
        <v>-30</v>
      </c>
      <c r="K81" s="83">
        <f>IF(B81=B80,0,INDEX(Flexion!D$20:Z$20,Tableau6[[#This Row],[Col.]]))</f>
        <v>0</v>
      </c>
      <c r="L81" s="92">
        <f>$L80+($D81-$D80)*(SUM($J$10:$J80,$K$10:$K80)-$J80/2)</f>
        <v>559350</v>
      </c>
      <c r="M81" s="84">
        <f>Tableau6[[#This Row],[Fr nod.]]+Tableau6[[#This Row],[Fr lin.]]</f>
        <v>0</v>
      </c>
      <c r="N81" s="92">
        <f>Tableau6[[#This Row],[Mt nod.]]+Tableau6[[#This Row],[Mt lin.]]</f>
        <v>379975</v>
      </c>
      <c r="O81" s="82">
        <f t="shared" si="10"/>
        <v>4255062.5</v>
      </c>
      <c r="P81" s="82">
        <f t="shared" ca="1" si="8"/>
        <v>-4.2776905820105822E-4</v>
      </c>
      <c r="Q81" s="82">
        <f t="shared" si="11"/>
        <v>-43621204531.25</v>
      </c>
      <c r="R81" s="82">
        <f t="shared" ca="1" si="9"/>
        <v>-0.34083739408451685</v>
      </c>
      <c r="S81" s="102">
        <f ca="1">OFFSET($A81,,CHOOSE(Flexion!$A$26,COLUMN($M$9)-1,COLUMN($N$9)-1,COLUMN($P$9)-1,COLUMN($R$9)-1))</f>
        <v>379975</v>
      </c>
    </row>
    <row r="82" spans="1:19" x14ac:dyDescent="0.2">
      <c r="A82" s="83">
        <f t="shared" si="7"/>
        <v>72</v>
      </c>
      <c r="B82" s="83">
        <f>MATCH(Tableau6[[#This Row],[x0]],Flexion!D$11:Z$11,1)</f>
        <v>3</v>
      </c>
      <c r="C82" s="83">
        <f>Tableau6[[#This Row],[N° pas]]*$A$2</f>
        <v>1080</v>
      </c>
      <c r="D82" s="101">
        <f>IF($B82=$B81,Tableau6[[#This Row],[x0]],INDEX(Flexion!D$11:Z$11,$B82))</f>
        <v>1080</v>
      </c>
      <c r="E82" s="83" t="str">
        <f>IF(B82=B81,"-",VALUE(INDEX(Flexion!D$10:Z$10,Tableau6[[#This Row],[Col.]])))</f>
        <v>-</v>
      </c>
      <c r="F82" s="83" t="str">
        <f>IF(E82="-","-",IF(INDEX(Flexion!D$12:Z$12,Tableau6[[#This Row],[Col.]])="","-",INDEX(Flexion!D$12:Z$12,Tableau6[[#This Row],[Col.]])))</f>
        <v>-</v>
      </c>
      <c r="G82" s="84">
        <f>IF(Tableau6[[#This Row],[Nœud]]&lt;&gt;"-",INDEX(Flexion!D$13:Z$13,Tableau6[[#This Row],[Col.]]),)</f>
        <v>0</v>
      </c>
      <c r="H82" s="83">
        <f>IF(Tableau6[[#This Row],[Appui]]&lt;&gt;"-",INDEX(Flexion!D$14:Z$14,Tableau6[[#This Row],[Col.]]),)</f>
        <v>0</v>
      </c>
      <c r="I82" s="92">
        <f>$I81+($D82-$D81)*(SUM($G$10:$G81,$H$10:$H81))</f>
        <v>-177500</v>
      </c>
      <c r="J82" s="84">
        <f>INDEX(Flexion!D$16:Z$16,Tableau6[[#This Row],[Col.]])*($D83-$D82)</f>
        <v>-30</v>
      </c>
      <c r="K82" s="83">
        <f>IF(B82=B81,0,INDEX(Flexion!D$20:Z$20,Tableau6[[#This Row],[Col.]]))</f>
        <v>0</v>
      </c>
      <c r="L82" s="92">
        <f>$L81+($D82-$D81)*(SUM($J$10:$J81,$K$10:$K81)-$J81/2)</f>
        <v>565500</v>
      </c>
      <c r="M82" s="84">
        <f>Tableau6[[#This Row],[Fr nod.]]+Tableau6[[#This Row],[Fr lin.]]</f>
        <v>0</v>
      </c>
      <c r="N82" s="92">
        <f>Tableau6[[#This Row],[Mt nod.]]+Tableau6[[#This Row],[Mt lin.]]</f>
        <v>388000</v>
      </c>
      <c r="O82" s="82">
        <f t="shared" si="10"/>
        <v>10014875</v>
      </c>
      <c r="P82" s="82">
        <f t="shared" ca="1" si="8"/>
        <v>-4.117294800891117E-4</v>
      </c>
      <c r="Q82" s="82">
        <f t="shared" si="11"/>
        <v>-43514180000</v>
      </c>
      <c r="R82" s="82">
        <f t="shared" ca="1" si="9"/>
        <v>-0.3471336331216931</v>
      </c>
      <c r="S82" s="102">
        <f ca="1">OFFSET($A82,,CHOOSE(Flexion!$A$26,COLUMN($M$9)-1,COLUMN($N$9)-1,COLUMN($P$9)-1,COLUMN($R$9)-1))</f>
        <v>388000</v>
      </c>
    </row>
    <row r="83" spans="1:19" x14ac:dyDescent="0.2">
      <c r="A83" s="83">
        <f t="shared" si="7"/>
        <v>73</v>
      </c>
      <c r="B83" s="83">
        <f>MATCH(Tableau6[[#This Row],[x0]],Flexion!D$11:Z$11,1)</f>
        <v>3</v>
      </c>
      <c r="C83" s="83">
        <f>Tableau6[[#This Row],[N° pas]]*$A$2</f>
        <v>1095</v>
      </c>
      <c r="D83" s="101">
        <f>IF($B83=$B82,Tableau6[[#This Row],[x0]],INDEX(Flexion!D$11:Z$11,$B83))</f>
        <v>1095</v>
      </c>
      <c r="E83" s="83" t="str">
        <f>IF(B83=B82,"-",VALUE(INDEX(Flexion!D$10:Z$10,Tableau6[[#This Row],[Col.]])))</f>
        <v>-</v>
      </c>
      <c r="F83" s="83" t="str">
        <f>IF(E83="-","-",IF(INDEX(Flexion!D$12:Z$12,Tableau6[[#This Row],[Col.]])="","-",INDEX(Flexion!D$12:Z$12,Tableau6[[#This Row],[Col.]])))</f>
        <v>-</v>
      </c>
      <c r="G83" s="84">
        <f>IF(Tableau6[[#This Row],[Nœud]]&lt;&gt;"-",INDEX(Flexion!D$13:Z$13,Tableau6[[#This Row],[Col.]]),)</f>
        <v>0</v>
      </c>
      <c r="H83" s="83">
        <f>IF(Tableau6[[#This Row],[Appui]]&lt;&gt;"-",INDEX(Flexion!D$14:Z$14,Tableau6[[#This Row],[Col.]]),)</f>
        <v>0</v>
      </c>
      <c r="I83" s="92">
        <f>$I82+($D83-$D82)*(SUM($G$10:$G82,$H$10:$H82))</f>
        <v>-175625</v>
      </c>
      <c r="J83" s="84">
        <f>INDEX(Flexion!D$16:Z$16,Tableau6[[#This Row],[Col.]])*($D84-$D83)</f>
        <v>-30</v>
      </c>
      <c r="K83" s="83">
        <f>IF(B83=B82,0,INDEX(Flexion!D$20:Z$20,Tableau6[[#This Row],[Col.]]))</f>
        <v>0</v>
      </c>
      <c r="L83" s="92">
        <f>$L82+($D83-$D82)*(SUM($J$10:$J82,$K$10:$K82)-$J82/2)</f>
        <v>571200</v>
      </c>
      <c r="M83" s="84">
        <f>Tableau6[[#This Row],[Fr nod.]]+Tableau6[[#This Row],[Fr lin.]]</f>
        <v>0</v>
      </c>
      <c r="N83" s="92">
        <f>Tableau6[[#This Row],[Mt nod.]]+Tableau6[[#This Row],[Mt lin.]]</f>
        <v>395575</v>
      </c>
      <c r="O83" s="82">
        <f t="shared" si="10"/>
        <v>15891687.5</v>
      </c>
      <c r="P83" s="82">
        <f t="shared" ca="1" si="8"/>
        <v>-3.9536408744082432E-4</v>
      </c>
      <c r="Q83" s="82">
        <f t="shared" si="11"/>
        <v>-43319880781.25</v>
      </c>
      <c r="R83" s="82">
        <f t="shared" ca="1" si="9"/>
        <v>-0.3531868348781676</v>
      </c>
      <c r="S83" s="102">
        <f ca="1">OFFSET($A83,,CHOOSE(Flexion!$A$26,COLUMN($M$9)-1,COLUMN($N$9)-1,COLUMN($P$9)-1,COLUMN($R$9)-1))</f>
        <v>395575</v>
      </c>
    </row>
    <row r="84" spans="1:19" x14ac:dyDescent="0.2">
      <c r="A84" s="83">
        <f t="shared" si="7"/>
        <v>74</v>
      </c>
      <c r="B84" s="83">
        <f>MATCH(Tableau6[[#This Row],[x0]],Flexion!D$11:Z$11,1)</f>
        <v>3</v>
      </c>
      <c r="C84" s="83">
        <f>Tableau6[[#This Row],[N° pas]]*$A$2</f>
        <v>1110</v>
      </c>
      <c r="D84" s="101">
        <f>IF($B84=$B83,Tableau6[[#This Row],[x0]],INDEX(Flexion!D$11:Z$11,$B84))</f>
        <v>1110</v>
      </c>
      <c r="E84" s="83" t="str">
        <f>IF(B84=B83,"-",VALUE(INDEX(Flexion!D$10:Z$10,Tableau6[[#This Row],[Col.]])))</f>
        <v>-</v>
      </c>
      <c r="F84" s="83" t="str">
        <f>IF(E84="-","-",IF(INDEX(Flexion!D$12:Z$12,Tableau6[[#This Row],[Col.]])="","-",INDEX(Flexion!D$12:Z$12,Tableau6[[#This Row],[Col.]])))</f>
        <v>-</v>
      </c>
      <c r="G84" s="84">
        <f>IF(Tableau6[[#This Row],[Nœud]]&lt;&gt;"-",INDEX(Flexion!D$13:Z$13,Tableau6[[#This Row],[Col.]]),)</f>
        <v>0</v>
      </c>
      <c r="H84" s="83">
        <f>IF(Tableau6[[#This Row],[Appui]]&lt;&gt;"-",INDEX(Flexion!D$14:Z$14,Tableau6[[#This Row],[Col.]]),)</f>
        <v>0</v>
      </c>
      <c r="I84" s="92">
        <f>$I83+($D84-$D83)*(SUM($G$10:$G83,$H$10:$H83))</f>
        <v>-173750</v>
      </c>
      <c r="J84" s="84">
        <f>INDEX(Flexion!D$16:Z$16,Tableau6[[#This Row],[Col.]])*($D85-$D84)</f>
        <v>-30</v>
      </c>
      <c r="K84" s="83">
        <f>IF(B84=B83,0,INDEX(Flexion!D$20:Z$20,Tableau6[[#This Row],[Col.]]))</f>
        <v>0</v>
      </c>
      <c r="L84" s="92">
        <f>$L83+($D84-$D83)*(SUM($J$10:$J83,$K$10:$K83)-$J83/2)</f>
        <v>576450</v>
      </c>
      <c r="M84" s="84">
        <f>Tableau6[[#This Row],[Fr nod.]]+Tableau6[[#This Row],[Fr lin.]]</f>
        <v>0</v>
      </c>
      <c r="N84" s="92">
        <f>Tableau6[[#This Row],[Mt nod.]]+Tableau6[[#This Row],[Mt lin.]]</f>
        <v>402700</v>
      </c>
      <c r="O84" s="82">
        <f t="shared" si="10"/>
        <v>21878750</v>
      </c>
      <c r="P84" s="82">
        <f t="shared" ca="1" si="8"/>
        <v>-3.7869167724867729E-4</v>
      </c>
      <c r="Q84" s="82">
        <f t="shared" si="11"/>
        <v>-43036602500</v>
      </c>
      <c r="R84" s="82">
        <f t="shared" ca="1" si="9"/>
        <v>-0.35899225311333893</v>
      </c>
      <c r="S84" s="102">
        <f ca="1">OFFSET($A84,,CHOOSE(Flexion!$A$26,COLUMN($M$9)-1,COLUMN($N$9)-1,COLUMN($P$9)-1,COLUMN($R$9)-1))</f>
        <v>402700</v>
      </c>
    </row>
    <row r="85" spans="1:19" x14ac:dyDescent="0.2">
      <c r="A85" s="83">
        <f t="shared" si="7"/>
        <v>75</v>
      </c>
      <c r="B85" s="83">
        <f>MATCH(Tableau6[[#This Row],[x0]],Flexion!D$11:Z$11,1)</f>
        <v>3</v>
      </c>
      <c r="C85" s="83">
        <f>Tableau6[[#This Row],[N° pas]]*$A$2</f>
        <v>1125</v>
      </c>
      <c r="D85" s="101">
        <f>IF($B85=$B84,Tableau6[[#This Row],[x0]],INDEX(Flexion!D$11:Z$11,$B85))</f>
        <v>1125</v>
      </c>
      <c r="E85" s="83" t="str">
        <f>IF(B85=B84,"-",VALUE(INDEX(Flexion!D$10:Z$10,Tableau6[[#This Row],[Col.]])))</f>
        <v>-</v>
      </c>
      <c r="F85" s="83" t="str">
        <f>IF(E85="-","-",IF(INDEX(Flexion!D$12:Z$12,Tableau6[[#This Row],[Col.]])="","-",INDEX(Flexion!D$12:Z$12,Tableau6[[#This Row],[Col.]])))</f>
        <v>-</v>
      </c>
      <c r="G85" s="84">
        <f>IF(Tableau6[[#This Row],[Nœud]]&lt;&gt;"-",INDEX(Flexion!D$13:Z$13,Tableau6[[#This Row],[Col.]]),)</f>
        <v>0</v>
      </c>
      <c r="H85" s="83">
        <f>IF(Tableau6[[#This Row],[Appui]]&lt;&gt;"-",INDEX(Flexion!D$14:Z$14,Tableau6[[#This Row],[Col.]]),)</f>
        <v>0</v>
      </c>
      <c r="I85" s="92">
        <f>$I84+($D85-$D84)*(SUM($G$10:$G84,$H$10:$H84))</f>
        <v>-171875</v>
      </c>
      <c r="J85" s="84">
        <f>INDEX(Flexion!D$16:Z$16,Tableau6[[#This Row],[Col.]])*($D86-$D85)</f>
        <v>-30</v>
      </c>
      <c r="K85" s="83">
        <f>IF(B85=B84,0,INDEX(Flexion!D$20:Z$20,Tableau6[[#This Row],[Col.]]))</f>
        <v>0</v>
      </c>
      <c r="L85" s="92">
        <f>$L84+($D85-$D84)*(SUM($J$10:$J84,$K$10:$K84)-$J84/2)</f>
        <v>581250</v>
      </c>
      <c r="M85" s="84">
        <f>Tableau6[[#This Row],[Fr nod.]]+Tableau6[[#This Row],[Fr lin.]]</f>
        <v>0</v>
      </c>
      <c r="N85" s="92">
        <f>Tableau6[[#This Row],[Mt nod.]]+Tableau6[[#This Row],[Mt lin.]]</f>
        <v>409375</v>
      </c>
      <c r="O85" s="82">
        <f t="shared" si="10"/>
        <v>27969312.5</v>
      </c>
      <c r="P85" s="82">
        <f t="shared" ca="1" si="8"/>
        <v>-3.6173104650515179E-4</v>
      </c>
      <c r="Q85" s="82">
        <f t="shared" si="11"/>
        <v>-42662742031.25</v>
      </c>
      <c r="R85" s="82">
        <f t="shared" ca="1" si="9"/>
        <v>-0.36454542354149266</v>
      </c>
      <c r="S85" s="102">
        <f ca="1">OFFSET($A85,,CHOOSE(Flexion!$A$26,COLUMN($M$9)-1,COLUMN($N$9)-1,COLUMN($P$9)-1,COLUMN($R$9)-1))</f>
        <v>409375</v>
      </c>
    </row>
    <row r="86" spans="1:19" x14ac:dyDescent="0.2">
      <c r="A86" s="83">
        <f t="shared" si="7"/>
        <v>76</v>
      </c>
      <c r="B86" s="83">
        <f>MATCH(Tableau6[[#This Row],[x0]],Flexion!D$11:Z$11,1)</f>
        <v>3</v>
      </c>
      <c r="C86" s="83">
        <f>Tableau6[[#This Row],[N° pas]]*$A$2</f>
        <v>1140</v>
      </c>
      <c r="D86" s="101">
        <f>IF($B86=$B85,Tableau6[[#This Row],[x0]],INDEX(Flexion!D$11:Z$11,$B86))</f>
        <v>1140</v>
      </c>
      <c r="E86" s="83" t="str">
        <f>IF(B86=B85,"-",VALUE(INDEX(Flexion!D$10:Z$10,Tableau6[[#This Row],[Col.]])))</f>
        <v>-</v>
      </c>
      <c r="F86" s="83" t="str">
        <f>IF(E86="-","-",IF(INDEX(Flexion!D$12:Z$12,Tableau6[[#This Row],[Col.]])="","-",INDEX(Flexion!D$12:Z$12,Tableau6[[#This Row],[Col.]])))</f>
        <v>-</v>
      </c>
      <c r="G86" s="84">
        <f>IF(Tableau6[[#This Row],[Nœud]]&lt;&gt;"-",INDEX(Flexion!D$13:Z$13,Tableau6[[#This Row],[Col.]]),)</f>
        <v>0</v>
      </c>
      <c r="H86" s="83">
        <f>IF(Tableau6[[#This Row],[Appui]]&lt;&gt;"-",INDEX(Flexion!D$14:Z$14,Tableau6[[#This Row],[Col.]]),)</f>
        <v>0</v>
      </c>
      <c r="I86" s="92">
        <f>$I85+($D86-$D85)*(SUM($G$10:$G85,$H$10:$H85))</f>
        <v>-170000</v>
      </c>
      <c r="J86" s="84">
        <f>INDEX(Flexion!D$16:Z$16,Tableau6[[#This Row],[Col.]])*($D87-$D86)</f>
        <v>-30</v>
      </c>
      <c r="K86" s="83">
        <f>IF(B86=B85,0,INDEX(Flexion!D$20:Z$20,Tableau6[[#This Row],[Col.]]))</f>
        <v>0</v>
      </c>
      <c r="L86" s="92">
        <f>$L85+($D86-$D85)*(SUM($J$10:$J85,$K$10:$K85)-$J85/2)</f>
        <v>585600</v>
      </c>
      <c r="M86" s="84">
        <f>Tableau6[[#This Row],[Fr nod.]]+Tableau6[[#This Row],[Fr lin.]]</f>
        <v>0</v>
      </c>
      <c r="N86" s="92">
        <f>Tableau6[[#This Row],[Mt nod.]]+Tableau6[[#This Row],[Mt lin.]]</f>
        <v>415600</v>
      </c>
      <c r="O86" s="82">
        <f t="shared" si="10"/>
        <v>34156625</v>
      </c>
      <c r="P86" s="82">
        <f t="shared" ca="1" si="8"/>
        <v>-3.4450099220272907E-4</v>
      </c>
      <c r="Q86" s="82">
        <f t="shared" si="11"/>
        <v>-42196797500</v>
      </c>
      <c r="R86" s="82">
        <f t="shared" ca="1" si="9"/>
        <v>-0.36984216383180168</v>
      </c>
      <c r="S86" s="102">
        <f ca="1">OFFSET($A86,,CHOOSE(Flexion!$A$26,COLUMN($M$9)-1,COLUMN($N$9)-1,COLUMN($P$9)-1,COLUMN($R$9)-1))</f>
        <v>415600</v>
      </c>
    </row>
    <row r="87" spans="1:19" x14ac:dyDescent="0.2">
      <c r="A87" s="83">
        <f t="shared" si="7"/>
        <v>77</v>
      </c>
      <c r="B87" s="83">
        <f>MATCH(Tableau6[[#This Row],[x0]],Flexion!D$11:Z$11,1)</f>
        <v>3</v>
      </c>
      <c r="C87" s="83">
        <f>Tableau6[[#This Row],[N° pas]]*$A$2</f>
        <v>1155</v>
      </c>
      <c r="D87" s="101">
        <f>IF($B87=$B86,Tableau6[[#This Row],[x0]],INDEX(Flexion!D$11:Z$11,$B87))</f>
        <v>1155</v>
      </c>
      <c r="E87" s="83" t="str">
        <f>IF(B87=B86,"-",VALUE(INDEX(Flexion!D$10:Z$10,Tableau6[[#This Row],[Col.]])))</f>
        <v>-</v>
      </c>
      <c r="F87" s="83" t="str">
        <f>IF(E87="-","-",IF(INDEX(Flexion!D$12:Z$12,Tableau6[[#This Row],[Col.]])="","-",INDEX(Flexion!D$12:Z$12,Tableau6[[#This Row],[Col.]])))</f>
        <v>-</v>
      </c>
      <c r="G87" s="84">
        <f>IF(Tableau6[[#This Row],[Nœud]]&lt;&gt;"-",INDEX(Flexion!D$13:Z$13,Tableau6[[#This Row],[Col.]]),)</f>
        <v>0</v>
      </c>
      <c r="H87" s="83">
        <f>IF(Tableau6[[#This Row],[Appui]]&lt;&gt;"-",INDEX(Flexion!D$14:Z$14,Tableau6[[#This Row],[Col.]]),)</f>
        <v>0</v>
      </c>
      <c r="I87" s="92">
        <f>$I86+($D87-$D86)*(SUM($G$10:$G86,$H$10:$H86))</f>
        <v>-168125</v>
      </c>
      <c r="J87" s="84">
        <f>INDEX(Flexion!D$16:Z$16,Tableau6[[#This Row],[Col.]])*($D88-$D87)</f>
        <v>-30</v>
      </c>
      <c r="K87" s="83">
        <f>IF(B87=B86,0,INDEX(Flexion!D$20:Z$20,Tableau6[[#This Row],[Col.]]))</f>
        <v>0</v>
      </c>
      <c r="L87" s="92">
        <f>$L86+($D87-$D86)*(SUM($J$10:$J86,$K$10:$K86)-$J86/2)</f>
        <v>589500</v>
      </c>
      <c r="M87" s="84">
        <f>Tableau6[[#This Row],[Fr nod.]]+Tableau6[[#This Row],[Fr lin.]]</f>
        <v>0</v>
      </c>
      <c r="N87" s="92">
        <f>Tableau6[[#This Row],[Mt nod.]]+Tableau6[[#This Row],[Mt lin.]]</f>
        <v>421375</v>
      </c>
      <c r="O87" s="82">
        <f t="shared" si="10"/>
        <v>40433937.5</v>
      </c>
      <c r="P87" s="82">
        <f t="shared" ca="1" si="8"/>
        <v>-3.2702031133389033E-4</v>
      </c>
      <c r="Q87" s="82">
        <f t="shared" si="11"/>
        <v>-41637368281.25</v>
      </c>
      <c r="R87" s="82">
        <f t="shared" ca="1" si="9"/>
        <v>-0.37487857360832633</v>
      </c>
      <c r="S87" s="102">
        <f ca="1">OFFSET($A87,,CHOOSE(Flexion!$A$26,COLUMN($M$9)-1,COLUMN($N$9)-1,COLUMN($P$9)-1,COLUMN($R$9)-1))</f>
        <v>421375</v>
      </c>
    </row>
    <row r="88" spans="1:19" x14ac:dyDescent="0.2">
      <c r="A88" s="83">
        <f t="shared" si="7"/>
        <v>78</v>
      </c>
      <c r="B88" s="83">
        <f>MATCH(Tableau6[[#This Row],[x0]],Flexion!D$11:Z$11,1)</f>
        <v>3</v>
      </c>
      <c r="C88" s="83">
        <f>Tableau6[[#This Row],[N° pas]]*$A$2</f>
        <v>1170</v>
      </c>
      <c r="D88" s="101">
        <f>IF($B88=$B87,Tableau6[[#This Row],[x0]],INDEX(Flexion!D$11:Z$11,$B88))</f>
        <v>1170</v>
      </c>
      <c r="E88" s="83" t="str">
        <f>IF(B88=B87,"-",VALUE(INDEX(Flexion!D$10:Z$10,Tableau6[[#This Row],[Col.]])))</f>
        <v>-</v>
      </c>
      <c r="F88" s="83" t="str">
        <f>IF(E88="-","-",IF(INDEX(Flexion!D$12:Z$12,Tableau6[[#This Row],[Col.]])="","-",INDEX(Flexion!D$12:Z$12,Tableau6[[#This Row],[Col.]])))</f>
        <v>-</v>
      </c>
      <c r="G88" s="84">
        <f>IF(Tableau6[[#This Row],[Nœud]]&lt;&gt;"-",INDEX(Flexion!D$13:Z$13,Tableau6[[#This Row],[Col.]]),)</f>
        <v>0</v>
      </c>
      <c r="H88" s="83">
        <f>IF(Tableau6[[#This Row],[Appui]]&lt;&gt;"-",INDEX(Flexion!D$14:Z$14,Tableau6[[#This Row],[Col.]]),)</f>
        <v>0</v>
      </c>
      <c r="I88" s="92">
        <f>$I87+($D88-$D87)*(SUM($G$10:$G87,$H$10:$H87))</f>
        <v>-166250</v>
      </c>
      <c r="J88" s="84">
        <f>INDEX(Flexion!D$16:Z$16,Tableau6[[#This Row],[Col.]])*($D89-$D88)</f>
        <v>-30</v>
      </c>
      <c r="K88" s="83">
        <f>IF(B88=B87,0,INDEX(Flexion!D$20:Z$20,Tableau6[[#This Row],[Col.]]))</f>
        <v>0</v>
      </c>
      <c r="L88" s="92">
        <f>$L87+($D88-$D87)*(SUM($J$10:$J87,$K$10:$K87)-$J87/2)</f>
        <v>592950</v>
      </c>
      <c r="M88" s="84">
        <f>Tableau6[[#This Row],[Fr nod.]]+Tableau6[[#This Row],[Fr lin.]]</f>
        <v>0</v>
      </c>
      <c r="N88" s="92">
        <f>Tableau6[[#This Row],[Mt nod.]]+Tableau6[[#This Row],[Mt lin.]]</f>
        <v>426700</v>
      </c>
      <c r="O88" s="82">
        <f t="shared" si="10"/>
        <v>46794500</v>
      </c>
      <c r="P88" s="82">
        <f t="shared" ca="1" si="8"/>
        <v>-3.093078008911167E-4</v>
      </c>
      <c r="Q88" s="82">
        <f t="shared" si="11"/>
        <v>-40983155000</v>
      </c>
      <c r="R88" s="82">
        <f t="shared" ca="1" si="9"/>
        <v>-0.37965103445001402</v>
      </c>
      <c r="S88" s="102">
        <f ca="1">OFFSET($A88,,CHOOSE(Flexion!$A$26,COLUMN($M$9)-1,COLUMN($N$9)-1,COLUMN($P$9)-1,COLUMN($R$9)-1))</f>
        <v>426700</v>
      </c>
    </row>
    <row r="89" spans="1:19" x14ac:dyDescent="0.2">
      <c r="A89" s="83">
        <f t="shared" si="7"/>
        <v>79</v>
      </c>
      <c r="B89" s="83">
        <f>MATCH(Tableau6[[#This Row],[x0]],Flexion!D$11:Z$11,1)</f>
        <v>3</v>
      </c>
      <c r="C89" s="83">
        <f>Tableau6[[#This Row],[N° pas]]*$A$2</f>
        <v>1185</v>
      </c>
      <c r="D89" s="101">
        <f>IF($B89=$B88,Tableau6[[#This Row],[x0]],INDEX(Flexion!D$11:Z$11,$B89))</f>
        <v>1185</v>
      </c>
      <c r="E89" s="83" t="str">
        <f>IF(B89=B88,"-",VALUE(INDEX(Flexion!D$10:Z$10,Tableau6[[#This Row],[Col.]])))</f>
        <v>-</v>
      </c>
      <c r="F89" s="83" t="str">
        <f>IF(E89="-","-",IF(INDEX(Flexion!D$12:Z$12,Tableau6[[#This Row],[Col.]])="","-",INDEX(Flexion!D$12:Z$12,Tableau6[[#This Row],[Col.]])))</f>
        <v>-</v>
      </c>
      <c r="G89" s="84">
        <f>IF(Tableau6[[#This Row],[Nœud]]&lt;&gt;"-",INDEX(Flexion!D$13:Z$13,Tableau6[[#This Row],[Col.]]),)</f>
        <v>0</v>
      </c>
      <c r="H89" s="83">
        <f>IF(Tableau6[[#This Row],[Appui]]&lt;&gt;"-",INDEX(Flexion!D$14:Z$14,Tableau6[[#This Row],[Col.]]),)</f>
        <v>0</v>
      </c>
      <c r="I89" s="92">
        <f>$I88+($D89-$D88)*(SUM($G$10:$G88,$H$10:$H88))</f>
        <v>-164375</v>
      </c>
      <c r="J89" s="84">
        <f>INDEX(Flexion!D$16:Z$16,Tableau6[[#This Row],[Col.]])*($D90-$D89)</f>
        <v>-30</v>
      </c>
      <c r="K89" s="83">
        <f>IF(B89=B88,0,INDEX(Flexion!D$20:Z$20,Tableau6[[#This Row],[Col.]]))</f>
        <v>0</v>
      </c>
      <c r="L89" s="92">
        <f>$L88+($D89-$D88)*(SUM($J$10:$J88,$K$10:$K88)-$J88/2)</f>
        <v>595950</v>
      </c>
      <c r="M89" s="84">
        <f>Tableau6[[#This Row],[Fr nod.]]+Tableau6[[#This Row],[Fr lin.]]</f>
        <v>0</v>
      </c>
      <c r="N89" s="92">
        <f>Tableau6[[#This Row],[Mt nod.]]+Tableau6[[#This Row],[Mt lin.]]</f>
        <v>431575</v>
      </c>
      <c r="O89" s="82">
        <f t="shared" si="10"/>
        <v>53231562.5</v>
      </c>
      <c r="P89" s="82">
        <f t="shared" ca="1" si="8"/>
        <v>-2.9138225786688949E-4</v>
      </c>
      <c r="Q89" s="82">
        <f t="shared" si="11"/>
        <v>-40232959531.25</v>
      </c>
      <c r="R89" s="82">
        <f t="shared" ca="1" si="9"/>
        <v>-0.38415620989069899</v>
      </c>
      <c r="S89" s="102">
        <f ca="1">OFFSET($A89,,CHOOSE(Flexion!$A$26,COLUMN($M$9)-1,COLUMN($N$9)-1,COLUMN($P$9)-1,COLUMN($R$9)-1))</f>
        <v>431575</v>
      </c>
    </row>
    <row r="90" spans="1:19" x14ac:dyDescent="0.2">
      <c r="A90" s="83">
        <f t="shared" si="7"/>
        <v>80</v>
      </c>
      <c r="B90" s="83">
        <f>MATCH(Tableau6[[#This Row],[x0]],Flexion!D$11:Z$11,1)</f>
        <v>3</v>
      </c>
      <c r="C90" s="83">
        <f>Tableau6[[#This Row],[N° pas]]*$A$2</f>
        <v>1200</v>
      </c>
      <c r="D90" s="101">
        <f>IF($B90=$B89,Tableau6[[#This Row],[x0]],INDEX(Flexion!D$11:Z$11,$B90))</f>
        <v>1200</v>
      </c>
      <c r="E90" s="83" t="str">
        <f>IF(B90=B89,"-",VALUE(INDEX(Flexion!D$10:Z$10,Tableau6[[#This Row],[Col.]])))</f>
        <v>-</v>
      </c>
      <c r="F90" s="83" t="str">
        <f>IF(E90="-","-",IF(INDEX(Flexion!D$12:Z$12,Tableau6[[#This Row],[Col.]])="","-",INDEX(Flexion!D$12:Z$12,Tableau6[[#This Row],[Col.]])))</f>
        <v>-</v>
      </c>
      <c r="G90" s="84">
        <f>IF(Tableau6[[#This Row],[Nœud]]&lt;&gt;"-",INDEX(Flexion!D$13:Z$13,Tableau6[[#This Row],[Col.]]),)</f>
        <v>0</v>
      </c>
      <c r="H90" s="83">
        <f>IF(Tableau6[[#This Row],[Appui]]&lt;&gt;"-",INDEX(Flexion!D$14:Z$14,Tableau6[[#This Row],[Col.]]),)</f>
        <v>0</v>
      </c>
      <c r="I90" s="92">
        <f>$I89+($D90-$D89)*(SUM($G$10:$G89,$H$10:$H89))</f>
        <v>-162500</v>
      </c>
      <c r="J90" s="84">
        <f>INDEX(Flexion!D$16:Z$16,Tableau6[[#This Row],[Col.]])*($D91-$D90)</f>
        <v>-30</v>
      </c>
      <c r="K90" s="83">
        <f>IF(B90=B89,0,INDEX(Flexion!D$20:Z$20,Tableau6[[#This Row],[Col.]]))</f>
        <v>0</v>
      </c>
      <c r="L90" s="92">
        <f>$L89+($D90-$D89)*(SUM($J$10:$J89,$K$10:$K89)-$J89/2)</f>
        <v>598500</v>
      </c>
      <c r="M90" s="84">
        <f>Tableau6[[#This Row],[Fr nod.]]+Tableau6[[#This Row],[Fr lin.]]</f>
        <v>0</v>
      </c>
      <c r="N90" s="92">
        <f>Tableau6[[#This Row],[Mt nod.]]+Tableau6[[#This Row],[Mt lin.]]</f>
        <v>436000</v>
      </c>
      <c r="O90" s="82">
        <f t="shared" si="10"/>
        <v>59738375</v>
      </c>
      <c r="P90" s="82">
        <f t="shared" ca="1" si="8"/>
        <v>-2.7326247925368982E-4</v>
      </c>
      <c r="Q90" s="82">
        <f t="shared" si="11"/>
        <v>-39385685000</v>
      </c>
      <c r="R90" s="82">
        <f t="shared" ca="1" si="9"/>
        <v>-0.3883910454191033</v>
      </c>
      <c r="S90" s="102">
        <f ca="1">OFFSET($A90,,CHOOSE(Flexion!$A$26,COLUMN($M$9)-1,COLUMN($N$9)-1,COLUMN($P$9)-1,COLUMN($R$9)-1))</f>
        <v>436000</v>
      </c>
    </row>
    <row r="91" spans="1:19" x14ac:dyDescent="0.2">
      <c r="A91" s="83">
        <f t="shared" si="7"/>
        <v>81</v>
      </c>
      <c r="B91" s="83">
        <f>MATCH(Tableau6[[#This Row],[x0]],Flexion!D$11:Z$11,1)</f>
        <v>3</v>
      </c>
      <c r="C91" s="83">
        <f>Tableau6[[#This Row],[N° pas]]*$A$2</f>
        <v>1215</v>
      </c>
      <c r="D91" s="101">
        <f>IF($B91=$B90,Tableau6[[#This Row],[x0]],INDEX(Flexion!D$11:Z$11,$B91))</f>
        <v>1215</v>
      </c>
      <c r="E91" s="83" t="str">
        <f>IF(B91=B90,"-",VALUE(INDEX(Flexion!D$10:Z$10,Tableau6[[#This Row],[Col.]])))</f>
        <v>-</v>
      </c>
      <c r="F91" s="83" t="str">
        <f>IF(E91="-","-",IF(INDEX(Flexion!D$12:Z$12,Tableau6[[#This Row],[Col.]])="","-",INDEX(Flexion!D$12:Z$12,Tableau6[[#This Row],[Col.]])))</f>
        <v>-</v>
      </c>
      <c r="G91" s="84">
        <f>IF(Tableau6[[#This Row],[Nœud]]&lt;&gt;"-",INDEX(Flexion!D$13:Z$13,Tableau6[[#This Row],[Col.]]),)</f>
        <v>0</v>
      </c>
      <c r="H91" s="83">
        <f>IF(Tableau6[[#This Row],[Appui]]&lt;&gt;"-",INDEX(Flexion!D$14:Z$14,Tableau6[[#This Row],[Col.]]),)</f>
        <v>0</v>
      </c>
      <c r="I91" s="92">
        <f>$I90+($D91-$D90)*(SUM($G$10:$G90,$H$10:$H90))</f>
        <v>-160625</v>
      </c>
      <c r="J91" s="84">
        <f>INDEX(Flexion!D$16:Z$16,Tableau6[[#This Row],[Col.]])*($D92-$D91)</f>
        <v>-30</v>
      </c>
      <c r="K91" s="83">
        <f>IF(B91=B90,0,INDEX(Flexion!D$20:Z$20,Tableau6[[#This Row],[Col.]]))</f>
        <v>0</v>
      </c>
      <c r="L91" s="92">
        <f>$L90+($D91-$D90)*(SUM($J$10:$J90,$K$10:$K90)-$J90/2)</f>
        <v>600600</v>
      </c>
      <c r="M91" s="84">
        <f>Tableau6[[#This Row],[Fr nod.]]+Tableau6[[#This Row],[Fr lin.]]</f>
        <v>0</v>
      </c>
      <c r="N91" s="92">
        <f>Tableau6[[#This Row],[Mt nod.]]+Tableau6[[#This Row],[Mt lin.]]</f>
        <v>439975</v>
      </c>
      <c r="O91" s="82">
        <f t="shared" si="10"/>
        <v>66308187.5</v>
      </c>
      <c r="P91" s="82">
        <f t="shared" ca="1" si="8"/>
        <v>-2.549672620439989E-4</v>
      </c>
      <c r="Q91" s="82">
        <f t="shared" si="11"/>
        <v>-38440335781.25</v>
      </c>
      <c r="R91" s="82">
        <f t="shared" ca="1" si="9"/>
        <v>-0.39235276847883593</v>
      </c>
      <c r="S91" s="102">
        <f ca="1">OFFSET($A91,,CHOOSE(Flexion!$A$26,COLUMN($M$9)-1,COLUMN($N$9)-1,COLUMN($P$9)-1,COLUMN($R$9)-1))</f>
        <v>439975</v>
      </c>
    </row>
    <row r="92" spans="1:19" x14ac:dyDescent="0.2">
      <c r="A92" s="83">
        <f t="shared" si="7"/>
        <v>82</v>
      </c>
      <c r="B92" s="83">
        <f>MATCH(Tableau6[[#This Row],[x0]],Flexion!D$11:Z$11,1)</f>
        <v>3</v>
      </c>
      <c r="C92" s="83">
        <f>Tableau6[[#This Row],[N° pas]]*$A$2</f>
        <v>1230</v>
      </c>
      <c r="D92" s="101">
        <f>IF($B92=$B91,Tableau6[[#This Row],[x0]],INDEX(Flexion!D$11:Z$11,$B92))</f>
        <v>1230</v>
      </c>
      <c r="E92" s="83" t="str">
        <f>IF(B92=B91,"-",VALUE(INDEX(Flexion!D$10:Z$10,Tableau6[[#This Row],[Col.]])))</f>
        <v>-</v>
      </c>
      <c r="F92" s="83" t="str">
        <f>IF(E92="-","-",IF(INDEX(Flexion!D$12:Z$12,Tableau6[[#This Row],[Col.]])="","-",INDEX(Flexion!D$12:Z$12,Tableau6[[#This Row],[Col.]])))</f>
        <v>-</v>
      </c>
      <c r="G92" s="84">
        <f>IF(Tableau6[[#This Row],[Nœud]]&lt;&gt;"-",INDEX(Flexion!D$13:Z$13,Tableau6[[#This Row],[Col.]]),)</f>
        <v>0</v>
      </c>
      <c r="H92" s="83">
        <f>IF(Tableau6[[#This Row],[Appui]]&lt;&gt;"-",INDEX(Flexion!D$14:Z$14,Tableau6[[#This Row],[Col.]]),)</f>
        <v>0</v>
      </c>
      <c r="I92" s="92">
        <f>$I91+($D92-$D91)*(SUM($G$10:$G91,$H$10:$H91))</f>
        <v>-158750</v>
      </c>
      <c r="J92" s="84">
        <f>INDEX(Flexion!D$16:Z$16,Tableau6[[#This Row],[Col.]])*($D93-$D92)</f>
        <v>-30</v>
      </c>
      <c r="K92" s="83">
        <f>IF(B92=B91,0,INDEX(Flexion!D$20:Z$20,Tableau6[[#This Row],[Col.]]))</f>
        <v>0</v>
      </c>
      <c r="L92" s="92">
        <f>$L91+($D92-$D91)*(SUM($J$10:$J91,$K$10:$K91)-$J91/2)</f>
        <v>602250</v>
      </c>
      <c r="M92" s="84">
        <f>Tableau6[[#This Row],[Fr nod.]]+Tableau6[[#This Row],[Fr lin.]]</f>
        <v>0</v>
      </c>
      <c r="N92" s="92">
        <f>Tableau6[[#This Row],[Mt nod.]]+Tableau6[[#This Row],[Mt lin.]]</f>
        <v>443500</v>
      </c>
      <c r="O92" s="82">
        <f t="shared" si="10"/>
        <v>72934250</v>
      </c>
      <c r="P92" s="82">
        <f t="shared" ca="1" si="8"/>
        <v>-2.3651540323029797E-4</v>
      </c>
      <c r="Q92" s="82">
        <f t="shared" si="11"/>
        <v>-37396017500</v>
      </c>
      <c r="R92" s="82">
        <f t="shared" ca="1" si="9"/>
        <v>-0.39603888846839319</v>
      </c>
      <c r="S92" s="102">
        <f ca="1">OFFSET($A92,,CHOOSE(Flexion!$A$26,COLUMN($M$9)-1,COLUMN($N$9)-1,COLUMN($P$9)-1,COLUMN($R$9)-1))</f>
        <v>443500</v>
      </c>
    </row>
    <row r="93" spans="1:19" x14ac:dyDescent="0.2">
      <c r="A93" s="83">
        <f t="shared" si="7"/>
        <v>83</v>
      </c>
      <c r="B93" s="83">
        <f>MATCH(Tableau6[[#This Row],[x0]],Flexion!D$11:Z$11,1)</f>
        <v>3</v>
      </c>
      <c r="C93" s="83">
        <f>Tableau6[[#This Row],[N° pas]]*$A$2</f>
        <v>1245</v>
      </c>
      <c r="D93" s="101">
        <f>IF($B93=$B92,Tableau6[[#This Row],[x0]],INDEX(Flexion!D$11:Z$11,$B93))</f>
        <v>1245</v>
      </c>
      <c r="E93" s="83" t="str">
        <f>IF(B93=B92,"-",VALUE(INDEX(Flexion!D$10:Z$10,Tableau6[[#This Row],[Col.]])))</f>
        <v>-</v>
      </c>
      <c r="F93" s="83" t="str">
        <f>IF(E93="-","-",IF(INDEX(Flexion!D$12:Z$12,Tableau6[[#This Row],[Col.]])="","-",INDEX(Flexion!D$12:Z$12,Tableau6[[#This Row],[Col.]])))</f>
        <v>-</v>
      </c>
      <c r="G93" s="84">
        <f>IF(Tableau6[[#This Row],[Nœud]]&lt;&gt;"-",INDEX(Flexion!D$13:Z$13,Tableau6[[#This Row],[Col.]]),)</f>
        <v>0</v>
      </c>
      <c r="H93" s="83">
        <f>IF(Tableau6[[#This Row],[Appui]]&lt;&gt;"-",INDEX(Flexion!D$14:Z$14,Tableau6[[#This Row],[Col.]]),)</f>
        <v>0</v>
      </c>
      <c r="I93" s="92">
        <f>$I92+($D93-$D92)*(SUM($G$10:$G92,$H$10:$H92))</f>
        <v>-156875</v>
      </c>
      <c r="J93" s="84">
        <f>INDEX(Flexion!D$16:Z$16,Tableau6[[#This Row],[Col.]])*($D94-$D93)</f>
        <v>-30</v>
      </c>
      <c r="K93" s="83">
        <f>IF(B93=B92,0,INDEX(Flexion!D$20:Z$20,Tableau6[[#This Row],[Col.]]))</f>
        <v>0</v>
      </c>
      <c r="L93" s="92">
        <f>$L92+($D93-$D92)*(SUM($J$10:$J92,$K$10:$K92)-$J92/2)</f>
        <v>603450</v>
      </c>
      <c r="M93" s="84">
        <f>Tableau6[[#This Row],[Fr nod.]]+Tableau6[[#This Row],[Fr lin.]]</f>
        <v>0</v>
      </c>
      <c r="N93" s="92">
        <f>Tableau6[[#This Row],[Mt nod.]]+Tableau6[[#This Row],[Mt lin.]]</f>
        <v>446575</v>
      </c>
      <c r="O93" s="82">
        <f t="shared" si="10"/>
        <v>79609812.5</v>
      </c>
      <c r="P93" s="82">
        <f t="shared" ca="1" si="8"/>
        <v>-2.1792569980506825E-4</v>
      </c>
      <c r="Q93" s="82">
        <f t="shared" si="11"/>
        <v>-36251937031.25</v>
      </c>
      <c r="R93" s="82">
        <f t="shared" ca="1" si="9"/>
        <v>-0.39944719674115847</v>
      </c>
      <c r="S93" s="102">
        <f ca="1">OFFSET($A93,,CHOOSE(Flexion!$A$26,COLUMN($M$9)-1,COLUMN($N$9)-1,COLUMN($P$9)-1,COLUMN($R$9)-1))</f>
        <v>446575</v>
      </c>
    </row>
    <row r="94" spans="1:19" x14ac:dyDescent="0.2">
      <c r="A94" s="83">
        <f t="shared" si="7"/>
        <v>84</v>
      </c>
      <c r="B94" s="83">
        <f>MATCH(Tableau6[[#This Row],[x0]],Flexion!D$11:Z$11,1)</f>
        <v>3</v>
      </c>
      <c r="C94" s="83">
        <f>Tableau6[[#This Row],[N° pas]]*$A$2</f>
        <v>1260</v>
      </c>
      <c r="D94" s="101">
        <f>IF($B94=$B93,Tableau6[[#This Row],[x0]],INDEX(Flexion!D$11:Z$11,$B94))</f>
        <v>1260</v>
      </c>
      <c r="E94" s="83" t="str">
        <f>IF(B94=B93,"-",VALUE(INDEX(Flexion!D$10:Z$10,Tableau6[[#This Row],[Col.]])))</f>
        <v>-</v>
      </c>
      <c r="F94" s="83" t="str">
        <f>IF(E94="-","-",IF(INDEX(Flexion!D$12:Z$12,Tableau6[[#This Row],[Col.]])="","-",INDEX(Flexion!D$12:Z$12,Tableau6[[#This Row],[Col.]])))</f>
        <v>-</v>
      </c>
      <c r="G94" s="84">
        <f>IF(Tableau6[[#This Row],[Nœud]]&lt;&gt;"-",INDEX(Flexion!D$13:Z$13,Tableau6[[#This Row],[Col.]]),)</f>
        <v>0</v>
      </c>
      <c r="H94" s="83">
        <f>IF(Tableau6[[#This Row],[Appui]]&lt;&gt;"-",INDEX(Flexion!D$14:Z$14,Tableau6[[#This Row],[Col.]]),)</f>
        <v>0</v>
      </c>
      <c r="I94" s="92">
        <f>$I93+($D94-$D93)*(SUM($G$10:$G93,$H$10:$H93))</f>
        <v>-155000</v>
      </c>
      <c r="J94" s="84">
        <f>INDEX(Flexion!D$16:Z$16,Tableau6[[#This Row],[Col.]])*($D95-$D94)</f>
        <v>-30</v>
      </c>
      <c r="K94" s="83">
        <f>IF(B94=B93,0,INDEX(Flexion!D$20:Z$20,Tableau6[[#This Row],[Col.]]))</f>
        <v>0</v>
      </c>
      <c r="L94" s="92">
        <f>$L93+($D94-$D93)*(SUM($J$10:$J93,$K$10:$K93)-$J93/2)</f>
        <v>604200</v>
      </c>
      <c r="M94" s="84">
        <f>Tableau6[[#This Row],[Fr nod.]]+Tableau6[[#This Row],[Fr lin.]]</f>
        <v>0</v>
      </c>
      <c r="N94" s="92">
        <f>Tableau6[[#This Row],[Mt nod.]]+Tableau6[[#This Row],[Mt lin.]]</f>
        <v>449200</v>
      </c>
      <c r="O94" s="82">
        <f t="shared" si="10"/>
        <v>86328125</v>
      </c>
      <c r="P94" s="82">
        <f t="shared" ca="1" si="8"/>
        <v>-1.9921694876079088E-4</v>
      </c>
      <c r="Q94" s="82">
        <f t="shared" si="11"/>
        <v>-35007402500</v>
      </c>
      <c r="R94" s="82">
        <f t="shared" ca="1" si="9"/>
        <v>-0.4025757666054024</v>
      </c>
      <c r="S94" s="102">
        <f ca="1">OFFSET($A94,,CHOOSE(Flexion!$A$26,COLUMN($M$9)-1,COLUMN($N$9)-1,COLUMN($P$9)-1,COLUMN($R$9)-1))</f>
        <v>449200</v>
      </c>
    </row>
    <row r="95" spans="1:19" x14ac:dyDescent="0.2">
      <c r="A95" s="83">
        <f t="shared" si="7"/>
        <v>85</v>
      </c>
      <c r="B95" s="83">
        <f>MATCH(Tableau6[[#This Row],[x0]],Flexion!D$11:Z$11,1)</f>
        <v>3</v>
      </c>
      <c r="C95" s="83">
        <f>Tableau6[[#This Row],[N° pas]]*$A$2</f>
        <v>1275</v>
      </c>
      <c r="D95" s="101">
        <f>IF($B95=$B94,Tableau6[[#This Row],[x0]],INDEX(Flexion!D$11:Z$11,$B95))</f>
        <v>1275</v>
      </c>
      <c r="E95" s="83" t="str">
        <f>IF(B95=B94,"-",VALUE(INDEX(Flexion!D$10:Z$10,Tableau6[[#This Row],[Col.]])))</f>
        <v>-</v>
      </c>
      <c r="F95" s="83" t="str">
        <f>IF(E95="-","-",IF(INDEX(Flexion!D$12:Z$12,Tableau6[[#This Row],[Col.]])="","-",INDEX(Flexion!D$12:Z$12,Tableau6[[#This Row],[Col.]])))</f>
        <v>-</v>
      </c>
      <c r="G95" s="84">
        <f>IF(Tableau6[[#This Row],[Nœud]]&lt;&gt;"-",INDEX(Flexion!D$13:Z$13,Tableau6[[#This Row],[Col.]]),)</f>
        <v>0</v>
      </c>
      <c r="H95" s="83">
        <f>IF(Tableau6[[#This Row],[Appui]]&lt;&gt;"-",INDEX(Flexion!D$14:Z$14,Tableau6[[#This Row],[Col.]]),)</f>
        <v>0</v>
      </c>
      <c r="I95" s="92">
        <f>$I94+($D95-$D94)*(SUM($G$10:$G94,$H$10:$H94))</f>
        <v>-153125</v>
      </c>
      <c r="J95" s="84">
        <f>INDEX(Flexion!D$16:Z$16,Tableau6[[#This Row],[Col.]])*($D96-$D95)</f>
        <v>-30</v>
      </c>
      <c r="K95" s="83">
        <f>IF(B95=B94,0,INDEX(Flexion!D$20:Z$20,Tableau6[[#This Row],[Col.]]))</f>
        <v>0</v>
      </c>
      <c r="L95" s="92">
        <f>$L94+($D95-$D94)*(SUM($J$10:$J94,$K$10:$K94)-$J94/2)</f>
        <v>604500</v>
      </c>
      <c r="M95" s="84">
        <f>Tableau6[[#This Row],[Fr nod.]]+Tableau6[[#This Row],[Fr lin.]]</f>
        <v>0</v>
      </c>
      <c r="N95" s="92">
        <f>Tableau6[[#This Row],[Mt nod.]]+Tableau6[[#This Row],[Mt lin.]]</f>
        <v>451375</v>
      </c>
      <c r="O95" s="82">
        <f t="shared" si="10"/>
        <v>93082437.5</v>
      </c>
      <c r="P95" s="82">
        <f t="shared" ca="1" si="8"/>
        <v>-1.804079470899471E-4</v>
      </c>
      <c r="Q95" s="82">
        <f t="shared" si="11"/>
        <v>-33661823281.25</v>
      </c>
      <c r="R95" s="82">
        <f t="shared" ca="1" si="9"/>
        <v>-0.40542295332428291</v>
      </c>
      <c r="S95" s="102">
        <f ca="1">OFFSET($A95,,CHOOSE(Flexion!$A$26,COLUMN($M$9)-1,COLUMN($N$9)-1,COLUMN($P$9)-1,COLUMN($R$9)-1))</f>
        <v>451375</v>
      </c>
    </row>
    <row r="96" spans="1:19" x14ac:dyDescent="0.2">
      <c r="A96" s="83">
        <f t="shared" si="7"/>
        <v>86</v>
      </c>
      <c r="B96" s="83">
        <f>MATCH(Tableau6[[#This Row],[x0]],Flexion!D$11:Z$11,1)</f>
        <v>3</v>
      </c>
      <c r="C96" s="83">
        <f>Tableau6[[#This Row],[N° pas]]*$A$2</f>
        <v>1290</v>
      </c>
      <c r="D96" s="101">
        <f>IF($B96=$B95,Tableau6[[#This Row],[x0]],INDEX(Flexion!D$11:Z$11,$B96))</f>
        <v>1290</v>
      </c>
      <c r="E96" s="83" t="str">
        <f>IF(B96=B95,"-",VALUE(INDEX(Flexion!D$10:Z$10,Tableau6[[#This Row],[Col.]])))</f>
        <v>-</v>
      </c>
      <c r="F96" s="83" t="str">
        <f>IF(E96="-","-",IF(INDEX(Flexion!D$12:Z$12,Tableau6[[#This Row],[Col.]])="","-",INDEX(Flexion!D$12:Z$12,Tableau6[[#This Row],[Col.]])))</f>
        <v>-</v>
      </c>
      <c r="G96" s="84">
        <f>IF(Tableau6[[#This Row],[Nœud]]&lt;&gt;"-",INDEX(Flexion!D$13:Z$13,Tableau6[[#This Row],[Col.]]),)</f>
        <v>0</v>
      </c>
      <c r="H96" s="83">
        <f>IF(Tableau6[[#This Row],[Appui]]&lt;&gt;"-",INDEX(Flexion!D$14:Z$14,Tableau6[[#This Row],[Col.]]),)</f>
        <v>0</v>
      </c>
      <c r="I96" s="92">
        <f>$I95+($D96-$D95)*(SUM($G$10:$G95,$H$10:$H95))</f>
        <v>-151250</v>
      </c>
      <c r="J96" s="84">
        <f>INDEX(Flexion!D$16:Z$16,Tableau6[[#This Row],[Col.]])*($D97-$D96)</f>
        <v>-30</v>
      </c>
      <c r="K96" s="83">
        <f>IF(B96=B95,0,INDEX(Flexion!D$20:Z$20,Tableau6[[#This Row],[Col.]]))</f>
        <v>0</v>
      </c>
      <c r="L96" s="92">
        <f>$L95+($D96-$D95)*(SUM($J$10:$J95,$K$10:$K95)-$J95/2)</f>
        <v>604350</v>
      </c>
      <c r="M96" s="84">
        <f>Tableau6[[#This Row],[Fr nod.]]+Tableau6[[#This Row],[Fr lin.]]</f>
        <v>0</v>
      </c>
      <c r="N96" s="92">
        <f>Tableau6[[#This Row],[Mt nod.]]+Tableau6[[#This Row],[Mt lin.]]</f>
        <v>453100</v>
      </c>
      <c r="O96" s="82">
        <f t="shared" si="10"/>
        <v>99866000</v>
      </c>
      <c r="P96" s="82">
        <f t="shared" ca="1" si="8"/>
        <v>-1.6151749178501811E-4</v>
      </c>
      <c r="Q96" s="82">
        <f t="shared" si="11"/>
        <v>-32214710000</v>
      </c>
      <c r="R96" s="82">
        <f t="shared" ca="1" si="9"/>
        <v>-0.40798739411584517</v>
      </c>
      <c r="S96" s="102">
        <f ca="1">OFFSET($A96,,CHOOSE(Flexion!$A$26,COLUMN($M$9)-1,COLUMN($N$9)-1,COLUMN($P$9)-1,COLUMN($R$9)-1))</f>
        <v>453100</v>
      </c>
    </row>
    <row r="97" spans="1:19" x14ac:dyDescent="0.2">
      <c r="A97" s="83">
        <f t="shared" si="7"/>
        <v>87</v>
      </c>
      <c r="B97" s="83">
        <f>MATCH(Tableau6[[#This Row],[x0]],Flexion!D$11:Z$11,1)</f>
        <v>3</v>
      </c>
      <c r="C97" s="83">
        <f>Tableau6[[#This Row],[N° pas]]*$A$2</f>
        <v>1305</v>
      </c>
      <c r="D97" s="101">
        <f>IF($B97=$B96,Tableau6[[#This Row],[x0]],INDEX(Flexion!D$11:Z$11,$B97))</f>
        <v>1305</v>
      </c>
      <c r="E97" s="83" t="str">
        <f>IF(B97=B96,"-",VALUE(INDEX(Flexion!D$10:Z$10,Tableau6[[#This Row],[Col.]])))</f>
        <v>-</v>
      </c>
      <c r="F97" s="83" t="str">
        <f>IF(E97="-","-",IF(INDEX(Flexion!D$12:Z$12,Tableau6[[#This Row],[Col.]])="","-",INDEX(Flexion!D$12:Z$12,Tableau6[[#This Row],[Col.]])))</f>
        <v>-</v>
      </c>
      <c r="G97" s="84">
        <f>IF(Tableau6[[#This Row],[Nœud]]&lt;&gt;"-",INDEX(Flexion!D$13:Z$13,Tableau6[[#This Row],[Col.]]),)</f>
        <v>0</v>
      </c>
      <c r="H97" s="83">
        <f>IF(Tableau6[[#This Row],[Appui]]&lt;&gt;"-",INDEX(Flexion!D$14:Z$14,Tableau6[[#This Row],[Col.]]),)</f>
        <v>0</v>
      </c>
      <c r="I97" s="92">
        <f>$I96+($D97-$D96)*(SUM($G$10:$G96,$H$10:$H96))</f>
        <v>-149375</v>
      </c>
      <c r="J97" s="84">
        <f>INDEX(Flexion!D$16:Z$16,Tableau6[[#This Row],[Col.]])*($D98-$D97)</f>
        <v>-30</v>
      </c>
      <c r="K97" s="83">
        <f>IF(B97=B96,0,INDEX(Flexion!D$20:Z$20,Tableau6[[#This Row],[Col.]]))</f>
        <v>0</v>
      </c>
      <c r="L97" s="92">
        <f>$L96+($D97-$D96)*(SUM($J$10:$J96,$K$10:$K96)-$J96/2)</f>
        <v>603750</v>
      </c>
      <c r="M97" s="84">
        <f>Tableau6[[#This Row],[Fr nod.]]+Tableau6[[#This Row],[Fr lin.]]</f>
        <v>0</v>
      </c>
      <c r="N97" s="92">
        <f>Tableau6[[#This Row],[Mt nod.]]+Tableau6[[#This Row],[Mt lin.]]</f>
        <v>454375</v>
      </c>
      <c r="O97" s="82">
        <f t="shared" si="10"/>
        <v>106672062.5</v>
      </c>
      <c r="P97" s="82">
        <f t="shared" ca="1" si="8"/>
        <v>-1.4256437983848513E-4</v>
      </c>
      <c r="Q97" s="82">
        <f t="shared" si="11"/>
        <v>-30665674531.25</v>
      </c>
      <c r="R97" s="82">
        <f t="shared" ca="1" si="9"/>
        <v>-0.41026800815302145</v>
      </c>
      <c r="S97" s="102">
        <f ca="1">OFFSET($A97,,CHOOSE(Flexion!$A$26,COLUMN($M$9)-1,COLUMN($N$9)-1,COLUMN($P$9)-1,COLUMN($R$9)-1))</f>
        <v>454375</v>
      </c>
    </row>
    <row r="98" spans="1:19" x14ac:dyDescent="0.2">
      <c r="A98" s="83">
        <f t="shared" si="7"/>
        <v>88</v>
      </c>
      <c r="B98" s="83">
        <f>MATCH(Tableau6[[#This Row],[x0]],Flexion!D$11:Z$11,1)</f>
        <v>3</v>
      </c>
      <c r="C98" s="83">
        <f>Tableau6[[#This Row],[N° pas]]*$A$2</f>
        <v>1320</v>
      </c>
      <c r="D98" s="101">
        <f>IF($B98=$B97,Tableau6[[#This Row],[x0]],INDEX(Flexion!D$11:Z$11,$B98))</f>
        <v>1320</v>
      </c>
      <c r="E98" s="83" t="str">
        <f>IF(B98=B97,"-",VALUE(INDEX(Flexion!D$10:Z$10,Tableau6[[#This Row],[Col.]])))</f>
        <v>-</v>
      </c>
      <c r="F98" s="83" t="str">
        <f>IF(E98="-","-",IF(INDEX(Flexion!D$12:Z$12,Tableau6[[#This Row],[Col.]])="","-",INDEX(Flexion!D$12:Z$12,Tableau6[[#This Row],[Col.]])))</f>
        <v>-</v>
      </c>
      <c r="G98" s="84">
        <f>IF(Tableau6[[#This Row],[Nœud]]&lt;&gt;"-",INDEX(Flexion!D$13:Z$13,Tableau6[[#This Row],[Col.]]),)</f>
        <v>0</v>
      </c>
      <c r="H98" s="83">
        <f>IF(Tableau6[[#This Row],[Appui]]&lt;&gt;"-",INDEX(Flexion!D$14:Z$14,Tableau6[[#This Row],[Col.]]),)</f>
        <v>0</v>
      </c>
      <c r="I98" s="92">
        <f>$I97+($D98-$D97)*(SUM($G$10:$G97,$H$10:$H97))</f>
        <v>-147500</v>
      </c>
      <c r="J98" s="84">
        <f>INDEX(Flexion!D$16:Z$16,Tableau6[[#This Row],[Col.]])*($D99-$D98)</f>
        <v>-30</v>
      </c>
      <c r="K98" s="83">
        <f>IF(B98=B97,0,INDEX(Flexion!D$20:Z$20,Tableau6[[#This Row],[Col.]]))</f>
        <v>0</v>
      </c>
      <c r="L98" s="92">
        <f>$L97+($D98-$D97)*(SUM($J$10:$J97,$K$10:$K97)-$J97/2)</f>
        <v>602700</v>
      </c>
      <c r="M98" s="84">
        <f>Tableau6[[#This Row],[Fr nod.]]+Tableau6[[#This Row],[Fr lin.]]</f>
        <v>0</v>
      </c>
      <c r="N98" s="92">
        <f>Tableau6[[#This Row],[Mt nod.]]+Tableau6[[#This Row],[Mt lin.]]</f>
        <v>455200</v>
      </c>
      <c r="O98" s="82">
        <f t="shared" si="10"/>
        <v>113493875</v>
      </c>
      <c r="P98" s="82">
        <f t="shared" ca="1" si="8"/>
        <v>-1.2356740824282929E-4</v>
      </c>
      <c r="Q98" s="82">
        <f t="shared" si="11"/>
        <v>-29014430000</v>
      </c>
      <c r="R98" s="82">
        <f t="shared" ca="1" si="9"/>
        <v>-0.41226399656363133</v>
      </c>
      <c r="S98" s="102">
        <f ca="1">OFFSET($A98,,CHOOSE(Flexion!$A$26,COLUMN($M$9)-1,COLUMN($N$9)-1,COLUMN($P$9)-1,COLUMN($R$9)-1))</f>
        <v>455200</v>
      </c>
    </row>
    <row r="99" spans="1:19" x14ac:dyDescent="0.2">
      <c r="A99" s="83">
        <f t="shared" si="7"/>
        <v>89</v>
      </c>
      <c r="B99" s="83">
        <f>MATCH(Tableau6[[#This Row],[x0]],Flexion!D$11:Z$11,1)</f>
        <v>3</v>
      </c>
      <c r="C99" s="83">
        <f>Tableau6[[#This Row],[N° pas]]*$A$2</f>
        <v>1335</v>
      </c>
      <c r="D99" s="101">
        <f>IF($B99=$B98,Tableau6[[#This Row],[x0]],INDEX(Flexion!D$11:Z$11,$B99))</f>
        <v>1335</v>
      </c>
      <c r="E99" s="83" t="str">
        <f>IF(B99=B98,"-",VALUE(INDEX(Flexion!D$10:Z$10,Tableau6[[#This Row],[Col.]])))</f>
        <v>-</v>
      </c>
      <c r="F99" s="83" t="str">
        <f>IF(E99="-","-",IF(INDEX(Flexion!D$12:Z$12,Tableau6[[#This Row],[Col.]])="","-",INDEX(Flexion!D$12:Z$12,Tableau6[[#This Row],[Col.]])))</f>
        <v>-</v>
      </c>
      <c r="G99" s="84">
        <f>IF(Tableau6[[#This Row],[Nœud]]&lt;&gt;"-",INDEX(Flexion!D$13:Z$13,Tableau6[[#This Row],[Col.]]),)</f>
        <v>0</v>
      </c>
      <c r="H99" s="83">
        <f>IF(Tableau6[[#This Row],[Appui]]&lt;&gt;"-",INDEX(Flexion!D$14:Z$14,Tableau6[[#This Row],[Col.]]),)</f>
        <v>0</v>
      </c>
      <c r="I99" s="92">
        <f>$I98+($D99-$D98)*(SUM($G$10:$G98,$H$10:$H98))</f>
        <v>-145625</v>
      </c>
      <c r="J99" s="84">
        <f>INDEX(Flexion!D$16:Z$16,Tableau6[[#This Row],[Col.]])*($D100-$D99)</f>
        <v>-30</v>
      </c>
      <c r="K99" s="83">
        <f>IF(B99=B98,0,INDEX(Flexion!D$20:Z$20,Tableau6[[#This Row],[Col.]]))</f>
        <v>0</v>
      </c>
      <c r="L99" s="92">
        <f>$L98+($D99-$D98)*(SUM($J$10:$J98,$K$10:$K98)-$J98/2)</f>
        <v>601200</v>
      </c>
      <c r="M99" s="84">
        <f>Tableau6[[#This Row],[Fr nod.]]+Tableau6[[#This Row],[Fr lin.]]</f>
        <v>0</v>
      </c>
      <c r="N99" s="92">
        <f>Tableau6[[#This Row],[Mt nod.]]+Tableau6[[#This Row],[Mt lin.]]</f>
        <v>455575</v>
      </c>
      <c r="O99" s="82">
        <f t="shared" si="10"/>
        <v>120324687.5</v>
      </c>
      <c r="P99" s="82">
        <f t="shared" ca="1" si="8"/>
        <v>-1.045453739905319E-4</v>
      </c>
      <c r="Q99" s="82">
        <f t="shared" si="11"/>
        <v>-27260790781.25</v>
      </c>
      <c r="R99" s="82">
        <f t="shared" ca="1" si="9"/>
        <v>-0.41397484243038152</v>
      </c>
      <c r="S99" s="102">
        <f ca="1">OFFSET($A99,,CHOOSE(Flexion!$A$26,COLUMN($M$9)-1,COLUMN($N$9)-1,COLUMN($P$9)-1,COLUMN($R$9)-1))</f>
        <v>455575</v>
      </c>
    </row>
    <row r="100" spans="1:19" x14ac:dyDescent="0.2">
      <c r="A100" s="83">
        <f t="shared" si="7"/>
        <v>90</v>
      </c>
      <c r="B100" s="83">
        <f>MATCH(Tableau6[[#This Row],[x0]],Flexion!D$11:Z$11,1)</f>
        <v>3</v>
      </c>
      <c r="C100" s="83">
        <f>Tableau6[[#This Row],[N° pas]]*$A$2</f>
        <v>1350</v>
      </c>
      <c r="D100" s="101">
        <f>IF($B100=$B99,Tableau6[[#This Row],[x0]],INDEX(Flexion!D$11:Z$11,$B100))</f>
        <v>1350</v>
      </c>
      <c r="E100" s="83" t="str">
        <f>IF(B100=B99,"-",VALUE(INDEX(Flexion!D$10:Z$10,Tableau6[[#This Row],[Col.]])))</f>
        <v>-</v>
      </c>
      <c r="F100" s="83" t="str">
        <f>IF(E100="-","-",IF(INDEX(Flexion!D$12:Z$12,Tableau6[[#This Row],[Col.]])="","-",INDEX(Flexion!D$12:Z$12,Tableau6[[#This Row],[Col.]])))</f>
        <v>-</v>
      </c>
      <c r="G100" s="84">
        <f>IF(Tableau6[[#This Row],[Nœud]]&lt;&gt;"-",INDEX(Flexion!D$13:Z$13,Tableau6[[#This Row],[Col.]]),)</f>
        <v>0</v>
      </c>
      <c r="H100" s="83">
        <f>IF(Tableau6[[#This Row],[Appui]]&lt;&gt;"-",INDEX(Flexion!D$14:Z$14,Tableau6[[#This Row],[Col.]]),)</f>
        <v>0</v>
      </c>
      <c r="I100" s="92">
        <f>$I99+($D100-$D99)*(SUM($G$10:$G99,$H$10:$H99))</f>
        <v>-143750</v>
      </c>
      <c r="J100" s="84">
        <f>INDEX(Flexion!D$16:Z$16,Tableau6[[#This Row],[Col.]])*($D101-$D100)</f>
        <v>-30</v>
      </c>
      <c r="K100" s="83">
        <f>IF(B100=B99,0,INDEX(Flexion!D$20:Z$20,Tableau6[[#This Row],[Col.]]))</f>
        <v>0</v>
      </c>
      <c r="L100" s="92">
        <f>$L99+($D100-$D99)*(SUM($J$10:$J99,$K$10:$K99)-$J99/2)</f>
        <v>599250</v>
      </c>
      <c r="M100" s="84">
        <f>Tableau6[[#This Row],[Fr nod.]]+Tableau6[[#This Row],[Fr lin.]]</f>
        <v>0</v>
      </c>
      <c r="N100" s="92">
        <f>Tableau6[[#This Row],[Mt nod.]]+Tableau6[[#This Row],[Mt lin.]]</f>
        <v>455500</v>
      </c>
      <c r="O100" s="82">
        <f t="shared" si="10"/>
        <v>127157750</v>
      </c>
      <c r="P100" s="82">
        <f t="shared" ca="1" si="8"/>
        <v>-8.5517074074074092E-5</v>
      </c>
      <c r="Q100" s="82">
        <f t="shared" si="11"/>
        <v>-25404672500</v>
      </c>
      <c r="R100" s="82">
        <f t="shared" ca="1" si="9"/>
        <v>-0.41540031079086603</v>
      </c>
      <c r="S100" s="102">
        <f ca="1">OFFSET($A100,,CHOOSE(Flexion!$A$26,COLUMN($M$9)-1,COLUMN($N$9)-1,COLUMN($P$9)-1,COLUMN($R$9)-1))</f>
        <v>455500</v>
      </c>
    </row>
    <row r="101" spans="1:19" x14ac:dyDescent="0.2">
      <c r="A101" s="83">
        <f t="shared" si="7"/>
        <v>91</v>
      </c>
      <c r="B101" s="83">
        <f>MATCH(Tableau6[[#This Row],[x0]],Flexion!D$11:Z$11,1)</f>
        <v>3</v>
      </c>
      <c r="C101" s="83">
        <f>Tableau6[[#This Row],[N° pas]]*$A$2</f>
        <v>1365</v>
      </c>
      <c r="D101" s="101">
        <f>IF($B101=$B100,Tableau6[[#This Row],[x0]],INDEX(Flexion!D$11:Z$11,$B101))</f>
        <v>1365</v>
      </c>
      <c r="E101" s="83" t="str">
        <f>IF(B101=B100,"-",VALUE(INDEX(Flexion!D$10:Z$10,Tableau6[[#This Row],[Col.]])))</f>
        <v>-</v>
      </c>
      <c r="F101" s="83" t="str">
        <f>IF(E101="-","-",IF(INDEX(Flexion!D$12:Z$12,Tableau6[[#This Row],[Col.]])="","-",INDEX(Flexion!D$12:Z$12,Tableau6[[#This Row],[Col.]])))</f>
        <v>-</v>
      </c>
      <c r="G101" s="84">
        <f>IF(Tableau6[[#This Row],[Nœud]]&lt;&gt;"-",INDEX(Flexion!D$13:Z$13,Tableau6[[#This Row],[Col.]]),)</f>
        <v>0</v>
      </c>
      <c r="H101" s="83">
        <f>IF(Tableau6[[#This Row],[Appui]]&lt;&gt;"-",INDEX(Flexion!D$14:Z$14,Tableau6[[#This Row],[Col.]]),)</f>
        <v>0</v>
      </c>
      <c r="I101" s="92">
        <f>$I100+($D101-$D100)*(SUM($G$10:$G100,$H$10:$H100))</f>
        <v>-141875</v>
      </c>
      <c r="J101" s="84">
        <f>INDEX(Flexion!D$16:Z$16,Tableau6[[#This Row],[Col.]])*($D102-$D101)</f>
        <v>-30</v>
      </c>
      <c r="K101" s="83">
        <f>IF(B101=B100,0,INDEX(Flexion!D$20:Z$20,Tableau6[[#This Row],[Col.]]))</f>
        <v>0</v>
      </c>
      <c r="L101" s="92">
        <f>$L100+($D101-$D100)*(SUM($J$10:$J100,$K$10:$K100)-$J100/2)</f>
        <v>596850</v>
      </c>
      <c r="M101" s="84">
        <f>Tableau6[[#This Row],[Fr nod.]]+Tableau6[[#This Row],[Fr lin.]]</f>
        <v>0</v>
      </c>
      <c r="N101" s="92">
        <f>Tableau6[[#This Row],[Mt nod.]]+Tableau6[[#This Row],[Mt lin.]]</f>
        <v>454975</v>
      </c>
      <c r="O101" s="82">
        <f t="shared" si="10"/>
        <v>133986312.5</v>
      </c>
      <c r="P101" s="82">
        <f t="shared" ca="1" si="8"/>
        <v>-6.6501305485937062E-5</v>
      </c>
      <c r="Q101" s="82">
        <f t="shared" si="11"/>
        <v>-23446092031.25</v>
      </c>
      <c r="R101" s="82">
        <f t="shared" ca="1" si="9"/>
        <v>-0.41654044863756612</v>
      </c>
      <c r="S101" s="102">
        <f ca="1">OFFSET($A101,,CHOOSE(Flexion!$A$26,COLUMN($M$9)-1,COLUMN($N$9)-1,COLUMN($P$9)-1,COLUMN($R$9)-1))</f>
        <v>454975</v>
      </c>
    </row>
    <row r="102" spans="1:19" x14ac:dyDescent="0.2">
      <c r="A102" s="83">
        <f t="shared" si="7"/>
        <v>92</v>
      </c>
      <c r="B102" s="83">
        <f>MATCH(Tableau6[[#This Row],[x0]],Flexion!D$11:Z$11,1)</f>
        <v>3</v>
      </c>
      <c r="C102" s="83">
        <f>Tableau6[[#This Row],[N° pas]]*$A$2</f>
        <v>1380</v>
      </c>
      <c r="D102" s="101">
        <f>IF($B102=$B101,Tableau6[[#This Row],[x0]],INDEX(Flexion!D$11:Z$11,$B102))</f>
        <v>1380</v>
      </c>
      <c r="E102" s="83" t="str">
        <f>IF(B102=B101,"-",VALUE(INDEX(Flexion!D$10:Z$10,Tableau6[[#This Row],[Col.]])))</f>
        <v>-</v>
      </c>
      <c r="F102" s="83" t="str">
        <f>IF(E102="-","-",IF(INDEX(Flexion!D$12:Z$12,Tableau6[[#This Row],[Col.]])="","-",INDEX(Flexion!D$12:Z$12,Tableau6[[#This Row],[Col.]])))</f>
        <v>-</v>
      </c>
      <c r="G102" s="84">
        <f>IF(Tableau6[[#This Row],[Nœud]]&lt;&gt;"-",INDEX(Flexion!D$13:Z$13,Tableau6[[#This Row],[Col.]]),)</f>
        <v>0</v>
      </c>
      <c r="H102" s="83">
        <f>IF(Tableau6[[#This Row],[Appui]]&lt;&gt;"-",INDEX(Flexion!D$14:Z$14,Tableau6[[#This Row],[Col.]]),)</f>
        <v>0</v>
      </c>
      <c r="I102" s="92">
        <f>$I101+($D102-$D101)*(SUM($G$10:$G101,$H$10:$H101))</f>
        <v>-140000</v>
      </c>
      <c r="J102" s="84">
        <f>INDEX(Flexion!D$16:Z$16,Tableau6[[#This Row],[Col.]])*($D103-$D102)</f>
        <v>-30</v>
      </c>
      <c r="K102" s="83">
        <f>IF(B102=B101,0,INDEX(Flexion!D$20:Z$20,Tableau6[[#This Row],[Col.]]))</f>
        <v>0</v>
      </c>
      <c r="L102" s="92">
        <f>$L101+($D102-$D101)*(SUM($J$10:$J101,$K$10:$K101)-$J101/2)</f>
        <v>594000</v>
      </c>
      <c r="M102" s="84">
        <f>Tableau6[[#This Row],[Fr nod.]]+Tableau6[[#This Row],[Fr lin.]]</f>
        <v>0</v>
      </c>
      <c r="N102" s="92">
        <f>Tableau6[[#This Row],[Mt nod.]]+Tableau6[[#This Row],[Mt lin.]]</f>
        <v>454000</v>
      </c>
      <c r="O102" s="82">
        <f t="shared" si="10"/>
        <v>140803625</v>
      </c>
      <c r="P102" s="82">
        <f t="shared" ca="1" si="8"/>
        <v>-4.7516865218602056E-5</v>
      </c>
      <c r="Q102" s="82">
        <f t="shared" si="11"/>
        <v>-21385167500</v>
      </c>
      <c r="R102" s="82">
        <f t="shared" ca="1" si="9"/>
        <v>-0.41739558491785012</v>
      </c>
      <c r="S102" s="102">
        <f ca="1">OFFSET($A102,,CHOOSE(Flexion!$A$26,COLUMN($M$9)-1,COLUMN($N$9)-1,COLUMN($P$9)-1,COLUMN($R$9)-1))</f>
        <v>454000</v>
      </c>
    </row>
    <row r="103" spans="1:19" x14ac:dyDescent="0.2">
      <c r="A103" s="83">
        <f t="shared" si="7"/>
        <v>93</v>
      </c>
      <c r="B103" s="83">
        <f>MATCH(Tableau6[[#This Row],[x0]],Flexion!D$11:Z$11,1)</f>
        <v>3</v>
      </c>
      <c r="C103" s="83">
        <f>Tableau6[[#This Row],[N° pas]]*$A$2</f>
        <v>1395</v>
      </c>
      <c r="D103" s="101">
        <f>IF($B103=$B102,Tableau6[[#This Row],[x0]],INDEX(Flexion!D$11:Z$11,$B103))</f>
        <v>1395</v>
      </c>
      <c r="E103" s="83" t="str">
        <f>IF(B103=B102,"-",VALUE(INDEX(Flexion!D$10:Z$10,Tableau6[[#This Row],[Col.]])))</f>
        <v>-</v>
      </c>
      <c r="F103" s="83" t="str">
        <f>IF(E103="-","-",IF(INDEX(Flexion!D$12:Z$12,Tableau6[[#This Row],[Col.]])="","-",INDEX(Flexion!D$12:Z$12,Tableau6[[#This Row],[Col.]])))</f>
        <v>-</v>
      </c>
      <c r="G103" s="84">
        <f>IF(Tableau6[[#This Row],[Nœud]]&lt;&gt;"-",INDEX(Flexion!D$13:Z$13,Tableau6[[#This Row],[Col.]]),)</f>
        <v>0</v>
      </c>
      <c r="H103" s="83">
        <f>IF(Tableau6[[#This Row],[Appui]]&lt;&gt;"-",INDEX(Flexion!D$14:Z$14,Tableau6[[#This Row],[Col.]]),)</f>
        <v>0</v>
      </c>
      <c r="I103" s="92">
        <f>$I102+($D103-$D102)*(SUM($G$10:$G102,$H$10:$H102))</f>
        <v>-138125</v>
      </c>
      <c r="J103" s="84">
        <f>INDEX(Flexion!D$16:Z$16,Tableau6[[#This Row],[Col.]])*($D104-$D103)</f>
        <v>-30</v>
      </c>
      <c r="K103" s="83">
        <f>IF(B103=B102,0,INDEX(Flexion!D$20:Z$20,Tableau6[[#This Row],[Col.]]))</f>
        <v>0</v>
      </c>
      <c r="L103" s="92">
        <f>$L102+($D103-$D102)*(SUM($J$10:$J102,$K$10:$K102)-$J102/2)</f>
        <v>590700</v>
      </c>
      <c r="M103" s="84">
        <f>Tableau6[[#This Row],[Fr nod.]]+Tableau6[[#This Row],[Fr lin.]]</f>
        <v>0</v>
      </c>
      <c r="N103" s="92">
        <f>Tableau6[[#This Row],[Mt nod.]]+Tableau6[[#This Row],[Mt lin.]]</f>
        <v>452575</v>
      </c>
      <c r="O103" s="82">
        <f t="shared" si="10"/>
        <v>147602937.5</v>
      </c>
      <c r="P103" s="82">
        <f t="shared" ca="1" si="8"/>
        <v>-2.8582550264550266E-5</v>
      </c>
      <c r="Q103" s="82">
        <f t="shared" si="11"/>
        <v>-19222118281.25</v>
      </c>
      <c r="R103" s="82">
        <f t="shared" ca="1" si="9"/>
        <v>-0.41796633053397392</v>
      </c>
      <c r="S103" s="102">
        <f ca="1">OFFSET($A103,,CHOOSE(Flexion!$A$26,COLUMN($M$9)-1,COLUMN($N$9)-1,COLUMN($P$9)-1,COLUMN($R$9)-1))</f>
        <v>452575</v>
      </c>
    </row>
    <row r="104" spans="1:19" x14ac:dyDescent="0.2">
      <c r="A104" s="83">
        <f t="shared" si="7"/>
        <v>94</v>
      </c>
      <c r="B104" s="83">
        <f>MATCH(Tableau6[[#This Row],[x0]],Flexion!D$11:Z$11,1)</f>
        <v>3</v>
      </c>
      <c r="C104" s="83">
        <f>Tableau6[[#This Row],[N° pas]]*$A$2</f>
        <v>1410</v>
      </c>
      <c r="D104" s="101">
        <f>IF($B104=$B103,Tableau6[[#This Row],[x0]],INDEX(Flexion!D$11:Z$11,$B104))</f>
        <v>1410</v>
      </c>
      <c r="E104" s="83" t="str">
        <f>IF(B104=B103,"-",VALUE(INDEX(Flexion!D$10:Z$10,Tableau6[[#This Row],[Col.]])))</f>
        <v>-</v>
      </c>
      <c r="F104" s="83" t="str">
        <f>IF(E104="-","-",IF(INDEX(Flexion!D$12:Z$12,Tableau6[[#This Row],[Col.]])="","-",INDEX(Flexion!D$12:Z$12,Tableau6[[#This Row],[Col.]])))</f>
        <v>-</v>
      </c>
      <c r="G104" s="84">
        <f>IF(Tableau6[[#This Row],[Nœud]]&lt;&gt;"-",INDEX(Flexion!D$13:Z$13,Tableau6[[#This Row],[Col.]]),)</f>
        <v>0</v>
      </c>
      <c r="H104" s="83">
        <f>IF(Tableau6[[#This Row],[Appui]]&lt;&gt;"-",INDEX(Flexion!D$14:Z$14,Tableau6[[#This Row],[Col.]]),)</f>
        <v>0</v>
      </c>
      <c r="I104" s="92">
        <f>$I103+($D104-$D103)*(SUM($G$10:$G103,$H$10:$H103))</f>
        <v>-136250</v>
      </c>
      <c r="J104" s="84">
        <f>INDEX(Flexion!D$16:Z$16,Tableau6[[#This Row],[Col.]])*($D105-$D104)</f>
        <v>-30</v>
      </c>
      <c r="K104" s="83">
        <f>IF(B104=B103,0,INDEX(Flexion!D$20:Z$20,Tableau6[[#This Row],[Col.]]))</f>
        <v>0</v>
      </c>
      <c r="L104" s="92">
        <f>$L103+($D104-$D103)*(SUM($J$10:$J103,$K$10:$K103)-$J103/2)</f>
        <v>586950</v>
      </c>
      <c r="M104" s="84">
        <f>Tableau6[[#This Row],[Fr nod.]]+Tableau6[[#This Row],[Fr lin.]]</f>
        <v>0</v>
      </c>
      <c r="N104" s="92">
        <f>Tableau6[[#This Row],[Mt nod.]]+Tableau6[[#This Row],[Mt lin.]]</f>
        <v>450700</v>
      </c>
      <c r="O104" s="82">
        <f t="shared" si="10"/>
        <v>154377500</v>
      </c>
      <c r="P104" s="82">
        <f t="shared" ca="1" si="8"/>
        <v>-9.7171576162628846E-6</v>
      </c>
      <c r="Q104" s="82">
        <f t="shared" si="11"/>
        <v>-16957265000</v>
      </c>
      <c r="R104" s="82">
        <f t="shared" ca="1" si="9"/>
        <v>-0.41825357834307997</v>
      </c>
      <c r="S104" s="102">
        <f ca="1">OFFSET($A104,,CHOOSE(Flexion!$A$26,COLUMN($M$9)-1,COLUMN($N$9)-1,COLUMN($P$9)-1,COLUMN($R$9)-1))</f>
        <v>450700</v>
      </c>
    </row>
    <row r="105" spans="1:19" x14ac:dyDescent="0.2">
      <c r="A105" s="83">
        <f t="shared" si="7"/>
        <v>95</v>
      </c>
      <c r="B105" s="83">
        <f>MATCH(Tableau6[[#This Row],[x0]],Flexion!D$11:Z$11,1)</f>
        <v>3</v>
      </c>
      <c r="C105" s="83">
        <f>Tableau6[[#This Row],[N° pas]]*$A$2</f>
        <v>1425</v>
      </c>
      <c r="D105" s="101">
        <f>IF($B105=$B104,Tableau6[[#This Row],[x0]],INDEX(Flexion!D$11:Z$11,$B105))</f>
        <v>1425</v>
      </c>
      <c r="E105" s="83" t="str">
        <f>IF(B105=B104,"-",VALUE(INDEX(Flexion!D$10:Z$10,Tableau6[[#This Row],[Col.]])))</f>
        <v>-</v>
      </c>
      <c r="F105" s="83" t="str">
        <f>IF(E105="-","-",IF(INDEX(Flexion!D$12:Z$12,Tableau6[[#This Row],[Col.]])="","-",INDEX(Flexion!D$12:Z$12,Tableau6[[#This Row],[Col.]])))</f>
        <v>-</v>
      </c>
      <c r="G105" s="84">
        <f>IF(Tableau6[[#This Row],[Nœud]]&lt;&gt;"-",INDEX(Flexion!D$13:Z$13,Tableau6[[#This Row],[Col.]]),)</f>
        <v>0</v>
      </c>
      <c r="H105" s="83">
        <f>IF(Tableau6[[#This Row],[Appui]]&lt;&gt;"-",INDEX(Flexion!D$14:Z$14,Tableau6[[#This Row],[Col.]]),)</f>
        <v>0</v>
      </c>
      <c r="I105" s="92">
        <f>$I104+($D105-$D104)*(SUM($G$10:$G104,$H$10:$H104))</f>
        <v>-134375</v>
      </c>
      <c r="J105" s="84">
        <f>INDEX(Flexion!D$16:Z$16,Tableau6[[#This Row],[Col.]])*($D106-$D105)</f>
        <v>-30</v>
      </c>
      <c r="K105" s="83">
        <f>IF(B105=B104,0,INDEX(Flexion!D$20:Z$20,Tableau6[[#This Row],[Col.]]))</f>
        <v>0</v>
      </c>
      <c r="L105" s="92">
        <f>$L104+($D105-$D104)*(SUM($J$10:$J104,$K$10:$K104)-$J104/2)</f>
        <v>582750</v>
      </c>
      <c r="M105" s="84">
        <f>Tableau6[[#This Row],[Fr nod.]]+Tableau6[[#This Row],[Fr lin.]]</f>
        <v>0</v>
      </c>
      <c r="N105" s="92">
        <f>Tableau6[[#This Row],[Mt nod.]]+Tableau6[[#This Row],[Mt lin.]]</f>
        <v>448375</v>
      </c>
      <c r="O105" s="82">
        <f t="shared" si="10"/>
        <v>161120562.5</v>
      </c>
      <c r="P105" s="82">
        <f t="shared" ca="1" si="8"/>
        <v>9.060515733778896E-6</v>
      </c>
      <c r="Q105" s="82">
        <f t="shared" si="11"/>
        <v>-14591029531.25</v>
      </c>
      <c r="R105" s="82">
        <f t="shared" ca="1" si="9"/>
        <v>-0.41825850315719859</v>
      </c>
      <c r="S105" s="102">
        <f ca="1">OFFSET($A105,,CHOOSE(Flexion!$A$26,COLUMN($M$9)-1,COLUMN($N$9)-1,COLUMN($P$9)-1,COLUMN($R$9)-1))</f>
        <v>448375</v>
      </c>
    </row>
    <row r="106" spans="1:19" x14ac:dyDescent="0.2">
      <c r="A106" s="83">
        <f t="shared" si="7"/>
        <v>96</v>
      </c>
      <c r="B106" s="83">
        <f>MATCH(Tableau6[[#This Row],[x0]],Flexion!D$11:Z$11,1)</f>
        <v>3</v>
      </c>
      <c r="C106" s="83">
        <f>Tableau6[[#This Row],[N° pas]]*$A$2</f>
        <v>1440</v>
      </c>
      <c r="D106" s="101">
        <f>IF($B106=$B105,Tableau6[[#This Row],[x0]],INDEX(Flexion!D$11:Z$11,$B106))</f>
        <v>1440</v>
      </c>
      <c r="E106" s="83" t="str">
        <f>IF(B106=B105,"-",VALUE(INDEX(Flexion!D$10:Z$10,Tableau6[[#This Row],[Col.]])))</f>
        <v>-</v>
      </c>
      <c r="F106" s="83" t="str">
        <f>IF(E106="-","-",IF(INDEX(Flexion!D$12:Z$12,Tableau6[[#This Row],[Col.]])="","-",INDEX(Flexion!D$12:Z$12,Tableau6[[#This Row],[Col.]])))</f>
        <v>-</v>
      </c>
      <c r="G106" s="84">
        <f>IF(Tableau6[[#This Row],[Nœud]]&lt;&gt;"-",INDEX(Flexion!D$13:Z$13,Tableau6[[#This Row],[Col.]]),)</f>
        <v>0</v>
      </c>
      <c r="H106" s="83">
        <f>IF(Tableau6[[#This Row],[Appui]]&lt;&gt;"-",INDEX(Flexion!D$14:Z$14,Tableau6[[#This Row],[Col.]]),)</f>
        <v>0</v>
      </c>
      <c r="I106" s="92">
        <f>$I105+($D106-$D105)*(SUM($G$10:$G105,$H$10:$H105))</f>
        <v>-132500</v>
      </c>
      <c r="J106" s="84">
        <f>INDEX(Flexion!D$16:Z$16,Tableau6[[#This Row],[Col.]])*($D107-$D106)</f>
        <v>-30</v>
      </c>
      <c r="K106" s="83">
        <f>IF(B106=B105,0,INDEX(Flexion!D$20:Z$20,Tableau6[[#This Row],[Col.]]))</f>
        <v>0</v>
      </c>
      <c r="L106" s="92">
        <f>$L105+($D106-$D105)*(SUM($J$10:$J105,$K$10:$K105)-$J105/2)</f>
        <v>578100</v>
      </c>
      <c r="M106" s="84">
        <f>Tableau6[[#This Row],[Fr nod.]]+Tableau6[[#This Row],[Fr lin.]]</f>
        <v>0</v>
      </c>
      <c r="N106" s="92">
        <f>Tableau6[[#This Row],[Mt nod.]]+Tableau6[[#This Row],[Mt lin.]]</f>
        <v>445600</v>
      </c>
      <c r="O106" s="82">
        <f t="shared" si="10"/>
        <v>167825375</v>
      </c>
      <c r="P106" s="82">
        <f t="shared" ca="1" si="8"/>
        <v>2.7731672793093829E-5</v>
      </c>
      <c r="Q106" s="82">
        <f t="shared" si="11"/>
        <v>-12123935000</v>
      </c>
      <c r="R106" s="82">
        <f t="shared" ca="1" si="9"/>
        <v>-0.41798256174324699</v>
      </c>
      <c r="S106" s="102">
        <f ca="1">OFFSET($A106,,CHOOSE(Flexion!$A$26,COLUMN($M$9)-1,COLUMN($N$9)-1,COLUMN($P$9)-1,COLUMN($R$9)-1))</f>
        <v>445600</v>
      </c>
    </row>
    <row r="107" spans="1:19" x14ac:dyDescent="0.2">
      <c r="A107" s="83">
        <f t="shared" si="7"/>
        <v>97</v>
      </c>
      <c r="B107" s="83">
        <f>MATCH(Tableau6[[#This Row],[x0]],Flexion!D$11:Z$11,1)</f>
        <v>3</v>
      </c>
      <c r="C107" s="83">
        <f>Tableau6[[#This Row],[N° pas]]*$A$2</f>
        <v>1455</v>
      </c>
      <c r="D107" s="101">
        <f>IF($B107=$B106,Tableau6[[#This Row],[x0]],INDEX(Flexion!D$11:Z$11,$B107))</f>
        <v>1455</v>
      </c>
      <c r="E107" s="83" t="str">
        <f>IF(B107=B106,"-",VALUE(INDEX(Flexion!D$10:Z$10,Tableau6[[#This Row],[Col.]])))</f>
        <v>-</v>
      </c>
      <c r="F107" s="83" t="str">
        <f>IF(E107="-","-",IF(INDEX(Flexion!D$12:Z$12,Tableau6[[#This Row],[Col.]])="","-",INDEX(Flexion!D$12:Z$12,Tableau6[[#This Row],[Col.]])))</f>
        <v>-</v>
      </c>
      <c r="G107" s="84">
        <f>IF(Tableau6[[#This Row],[Nœud]]&lt;&gt;"-",INDEX(Flexion!D$13:Z$13,Tableau6[[#This Row],[Col.]]),)</f>
        <v>0</v>
      </c>
      <c r="H107" s="83">
        <f>IF(Tableau6[[#This Row],[Appui]]&lt;&gt;"-",INDEX(Flexion!D$14:Z$14,Tableau6[[#This Row],[Col.]]),)</f>
        <v>0</v>
      </c>
      <c r="I107" s="92">
        <f>$I106+($D107-$D106)*(SUM($G$10:$G106,$H$10:$H106))</f>
        <v>-130625</v>
      </c>
      <c r="J107" s="84">
        <f>INDEX(Flexion!D$16:Z$16,Tableau6[[#This Row],[Col.]])*($D108-$D107)</f>
        <v>-30</v>
      </c>
      <c r="K107" s="83">
        <f>IF(B107=B106,0,INDEX(Flexion!D$20:Z$20,Tableau6[[#This Row],[Col.]]))</f>
        <v>0</v>
      </c>
      <c r="L107" s="92">
        <f>$L106+($D107-$D106)*(SUM($J$10:$J106,$K$10:$K106)-$J106/2)</f>
        <v>573000</v>
      </c>
      <c r="M107" s="84">
        <f>Tableau6[[#This Row],[Fr nod.]]+Tableau6[[#This Row],[Fr lin.]]</f>
        <v>0</v>
      </c>
      <c r="N107" s="92">
        <f>Tableau6[[#This Row],[Mt nod.]]+Tableau6[[#This Row],[Mt lin.]]</f>
        <v>442375</v>
      </c>
      <c r="O107" s="82">
        <f t="shared" ref="O107:O138" si="12">(D107-D106)*(N107+N106)/2+O106</f>
        <v>174485187.5</v>
      </c>
      <c r="P107" s="82">
        <f t="shared" ca="1" si="8"/>
        <v>4.6277516569200776E-5</v>
      </c>
      <c r="Q107" s="82">
        <f t="shared" ref="Q107:Q138" si="13">Q106+((D107-D106)*(O107+O106)/2)</f>
        <v>-9556605781.25</v>
      </c>
      <c r="R107" s="82">
        <f t="shared" ca="1" si="9"/>
        <v>-0.41742749282302982</v>
      </c>
      <c r="S107" s="102">
        <f ca="1">OFFSET($A107,,CHOOSE(Flexion!$A$26,COLUMN($M$9)-1,COLUMN($N$9)-1,COLUMN($P$9)-1,COLUMN($R$9)-1))</f>
        <v>442375</v>
      </c>
    </row>
    <row r="108" spans="1:19" x14ac:dyDescent="0.2">
      <c r="A108" s="83">
        <f t="shared" si="7"/>
        <v>98</v>
      </c>
      <c r="B108" s="83">
        <f>MATCH(Tableau6[[#This Row],[x0]],Flexion!D$11:Z$11,1)</f>
        <v>3</v>
      </c>
      <c r="C108" s="83">
        <f>Tableau6[[#This Row],[N° pas]]*$A$2</f>
        <v>1470</v>
      </c>
      <c r="D108" s="101">
        <f>IF($B108=$B107,Tableau6[[#This Row],[x0]],INDEX(Flexion!D$11:Z$11,$B108))</f>
        <v>1470</v>
      </c>
      <c r="E108" s="83" t="str">
        <f>IF(B108=B107,"-",VALUE(INDEX(Flexion!D$10:Z$10,Tableau6[[#This Row],[Col.]])))</f>
        <v>-</v>
      </c>
      <c r="F108" s="83" t="str">
        <f>IF(E108="-","-",IF(INDEX(Flexion!D$12:Z$12,Tableau6[[#This Row],[Col.]])="","-",INDEX(Flexion!D$12:Z$12,Tableau6[[#This Row],[Col.]])))</f>
        <v>-</v>
      </c>
      <c r="G108" s="84">
        <f>IF(Tableau6[[#This Row],[Nœud]]&lt;&gt;"-",INDEX(Flexion!D$13:Z$13,Tableau6[[#This Row],[Col.]]),)</f>
        <v>0</v>
      </c>
      <c r="H108" s="83">
        <f>IF(Tableau6[[#This Row],[Appui]]&lt;&gt;"-",INDEX(Flexion!D$14:Z$14,Tableau6[[#This Row],[Col.]]),)</f>
        <v>0</v>
      </c>
      <c r="I108" s="92">
        <f>$I107+($D108-$D107)*(SUM($G$10:$G107,$H$10:$H107))</f>
        <v>-128750</v>
      </c>
      <c r="J108" s="84">
        <f>INDEX(Flexion!D$16:Z$16,Tableau6[[#This Row],[Col.]])*($D109-$D108)</f>
        <v>-30</v>
      </c>
      <c r="K108" s="83">
        <f>IF(B108=B107,0,INDEX(Flexion!D$20:Z$20,Tableau6[[#This Row],[Col.]]))</f>
        <v>0</v>
      </c>
      <c r="L108" s="92">
        <f>$L107+($D108-$D107)*(SUM($J$10:$J107,$K$10:$K107)-$J107/2)</f>
        <v>567450</v>
      </c>
      <c r="M108" s="84">
        <f>Tableau6[[#This Row],[Fr nod.]]+Tableau6[[#This Row],[Fr lin.]]</f>
        <v>0</v>
      </c>
      <c r="N108" s="92">
        <f>Tableau6[[#This Row],[Mt nod.]]+Tableau6[[#This Row],[Mt lin.]]</f>
        <v>438700</v>
      </c>
      <c r="O108" s="82">
        <f t="shared" si="12"/>
        <v>181093250</v>
      </c>
      <c r="P108" s="82">
        <f t="shared" ca="1" si="8"/>
        <v>6.4679250069618491E-5</v>
      </c>
      <c r="Q108" s="82">
        <f t="shared" si="13"/>
        <v>-6889767500</v>
      </c>
      <c r="R108" s="82">
        <f t="shared" ca="1" si="9"/>
        <v>-0.41659531707323871</v>
      </c>
      <c r="S108" s="102">
        <f ca="1">OFFSET($A108,,CHOOSE(Flexion!$A$26,COLUMN($M$9)-1,COLUMN($N$9)-1,COLUMN($P$9)-1,COLUMN($R$9)-1))</f>
        <v>438700</v>
      </c>
    </row>
    <row r="109" spans="1:19" x14ac:dyDescent="0.2">
      <c r="A109" s="83">
        <f t="shared" si="7"/>
        <v>99</v>
      </c>
      <c r="B109" s="83">
        <f>MATCH(Tableau6[[#This Row],[x0]],Flexion!D$11:Z$11,1)</f>
        <v>3</v>
      </c>
      <c r="C109" s="83">
        <f>Tableau6[[#This Row],[N° pas]]*$A$2</f>
        <v>1485</v>
      </c>
      <c r="D109" s="101">
        <f>IF($B109=$B108,Tableau6[[#This Row],[x0]],INDEX(Flexion!D$11:Z$11,$B109))</f>
        <v>1485</v>
      </c>
      <c r="E109" s="83" t="str">
        <f>IF(B109=B108,"-",VALUE(INDEX(Flexion!D$10:Z$10,Tableau6[[#This Row],[Col.]])))</f>
        <v>-</v>
      </c>
      <c r="F109" s="83" t="str">
        <f>IF(E109="-","-",IF(INDEX(Flexion!D$12:Z$12,Tableau6[[#This Row],[Col.]])="","-",INDEX(Flexion!D$12:Z$12,Tableau6[[#This Row],[Col.]])))</f>
        <v>-</v>
      </c>
      <c r="G109" s="84">
        <f>IF(Tableau6[[#This Row],[Nœud]]&lt;&gt;"-",INDEX(Flexion!D$13:Z$13,Tableau6[[#This Row],[Col.]]),)</f>
        <v>0</v>
      </c>
      <c r="H109" s="83">
        <f>IF(Tableau6[[#This Row],[Appui]]&lt;&gt;"-",INDEX(Flexion!D$14:Z$14,Tableau6[[#This Row],[Col.]]),)</f>
        <v>0</v>
      </c>
      <c r="I109" s="92">
        <f>$I108+($D109-$D108)*(SUM($G$10:$G108,$H$10:$H108))</f>
        <v>-126875</v>
      </c>
      <c r="J109" s="84">
        <f>INDEX(Flexion!D$16:Z$16,Tableau6[[#This Row],[Col.]])*($D110-$D109)</f>
        <v>-30</v>
      </c>
      <c r="K109" s="83">
        <f>IF(B109=B108,0,INDEX(Flexion!D$20:Z$20,Tableau6[[#This Row],[Col.]]))</f>
        <v>0</v>
      </c>
      <c r="L109" s="92">
        <f>$L108+($D109-$D108)*(SUM($J$10:$J108,$K$10:$K108)-$J108/2)</f>
        <v>561450</v>
      </c>
      <c r="M109" s="84">
        <f>Tableau6[[#This Row],[Fr nod.]]+Tableau6[[#This Row],[Fr lin.]]</f>
        <v>0</v>
      </c>
      <c r="N109" s="92">
        <f>Tableau6[[#This Row],[Mt nod.]]+Tableau6[[#This Row],[Mt lin.]]</f>
        <v>434575</v>
      </c>
      <c r="O109" s="82">
        <f t="shared" si="12"/>
        <v>187642812.5</v>
      </c>
      <c r="P109" s="82">
        <f t="shared" ca="1" si="8"/>
        <v>8.291807630186578E-5</v>
      </c>
      <c r="Q109" s="82">
        <f t="shared" si="13"/>
        <v>-4124247031.25</v>
      </c>
      <c r="R109" s="82">
        <f t="shared" ca="1" si="9"/>
        <v>-0.41548833712545252</v>
      </c>
      <c r="S109" s="102">
        <f ca="1">OFFSET($A109,,CHOOSE(Flexion!$A$26,COLUMN($M$9)-1,COLUMN($N$9)-1,COLUMN($P$9)-1,COLUMN($R$9)-1))</f>
        <v>434575</v>
      </c>
    </row>
    <row r="110" spans="1:19" x14ac:dyDescent="0.2">
      <c r="A110" s="83">
        <f t="shared" si="7"/>
        <v>100</v>
      </c>
      <c r="B110" s="83">
        <f>MATCH(Tableau6[[#This Row],[x0]],Flexion!D$11:Z$11,1)</f>
        <v>3</v>
      </c>
      <c r="C110" s="83">
        <f>Tableau6[[#This Row],[N° pas]]*$A$2</f>
        <v>1500</v>
      </c>
      <c r="D110" s="101">
        <f>IF($B110=$B109,Tableau6[[#This Row],[x0]],INDEX(Flexion!D$11:Z$11,$B110))</f>
        <v>1500</v>
      </c>
      <c r="E110" s="83" t="str">
        <f>IF(B110=B109,"-",VALUE(INDEX(Flexion!D$10:Z$10,Tableau6[[#This Row],[Col.]])))</f>
        <v>-</v>
      </c>
      <c r="F110" s="83" t="str">
        <f>IF(E110="-","-",IF(INDEX(Flexion!D$12:Z$12,Tableau6[[#This Row],[Col.]])="","-",INDEX(Flexion!D$12:Z$12,Tableau6[[#This Row],[Col.]])))</f>
        <v>-</v>
      </c>
      <c r="G110" s="84">
        <f>IF(Tableau6[[#This Row],[Nœud]]&lt;&gt;"-",INDEX(Flexion!D$13:Z$13,Tableau6[[#This Row],[Col.]]),)</f>
        <v>0</v>
      </c>
      <c r="H110" s="83">
        <f>IF(Tableau6[[#This Row],[Appui]]&lt;&gt;"-",INDEX(Flexion!D$14:Z$14,Tableau6[[#This Row],[Col.]]),)</f>
        <v>0</v>
      </c>
      <c r="I110" s="92">
        <f>$I109+($D110-$D109)*(SUM($G$10:$G109,$H$10:$H109))</f>
        <v>-125000</v>
      </c>
      <c r="J110" s="84">
        <f>INDEX(Flexion!D$16:Z$16,Tableau6[[#This Row],[Col.]])*($D111-$D110)</f>
        <v>-30</v>
      </c>
      <c r="K110" s="83">
        <f>IF(B110=B109,0,INDEX(Flexion!D$20:Z$20,Tableau6[[#This Row],[Col.]]))</f>
        <v>0</v>
      </c>
      <c r="L110" s="92">
        <f>$L109+($D110-$D109)*(SUM($J$10:$J109,$K$10:$K109)-$J109/2)</f>
        <v>555000</v>
      </c>
      <c r="M110" s="84">
        <f>Tableau6[[#This Row],[Fr nod.]]+Tableau6[[#This Row],[Fr lin.]]</f>
        <v>0</v>
      </c>
      <c r="N110" s="92">
        <f>Tableau6[[#This Row],[Mt nod.]]+Tableau6[[#This Row],[Mt lin.]]</f>
        <v>430000</v>
      </c>
      <c r="O110" s="82">
        <f t="shared" si="12"/>
        <v>194127125</v>
      </c>
      <c r="P110" s="82">
        <f t="shared" ca="1" si="8"/>
        <v>1.009751982734614E-4</v>
      </c>
      <c r="Q110" s="82">
        <f t="shared" si="13"/>
        <v>-1260972500</v>
      </c>
      <c r="R110" s="82">
        <f t="shared" ca="1" si="9"/>
        <v>-0.41410913756613754</v>
      </c>
      <c r="S110" s="102">
        <f ca="1">OFFSET($A110,,CHOOSE(Flexion!$A$26,COLUMN($M$9)-1,COLUMN($N$9)-1,COLUMN($P$9)-1,COLUMN($R$9)-1))</f>
        <v>430000</v>
      </c>
    </row>
    <row r="111" spans="1:19" x14ac:dyDescent="0.2">
      <c r="A111" s="83">
        <f t="shared" si="7"/>
        <v>101</v>
      </c>
      <c r="B111" s="83">
        <f>MATCH(Tableau6[[#This Row],[x0]],Flexion!D$11:Z$11,1)</f>
        <v>3</v>
      </c>
      <c r="C111" s="83">
        <f>Tableau6[[#This Row],[N° pas]]*$A$2</f>
        <v>1515</v>
      </c>
      <c r="D111" s="101">
        <f>IF($B111=$B110,Tableau6[[#This Row],[x0]],INDEX(Flexion!D$11:Z$11,$B111))</f>
        <v>1515</v>
      </c>
      <c r="E111" s="83" t="str">
        <f>IF(B111=B110,"-",VALUE(INDEX(Flexion!D$10:Z$10,Tableau6[[#This Row],[Col.]])))</f>
        <v>-</v>
      </c>
      <c r="F111" s="83" t="str">
        <f>IF(E111="-","-",IF(INDEX(Flexion!D$12:Z$12,Tableau6[[#This Row],[Col.]])="","-",INDEX(Flexion!D$12:Z$12,Tableau6[[#This Row],[Col.]])))</f>
        <v>-</v>
      </c>
      <c r="G111" s="84">
        <f>IF(Tableau6[[#This Row],[Nœud]]&lt;&gt;"-",INDEX(Flexion!D$13:Z$13,Tableau6[[#This Row],[Col.]]),)</f>
        <v>0</v>
      </c>
      <c r="H111" s="83">
        <f>IF(Tableau6[[#This Row],[Appui]]&lt;&gt;"-",INDEX(Flexion!D$14:Z$14,Tableau6[[#This Row],[Col.]]),)</f>
        <v>0</v>
      </c>
      <c r="I111" s="92">
        <f>$I110+($D111-$D110)*(SUM($G$10:$G110,$H$10:$H110))</f>
        <v>-123125</v>
      </c>
      <c r="J111" s="84">
        <f>INDEX(Flexion!D$16:Z$16,Tableau6[[#This Row],[Col.]])*($D112-$D111)</f>
        <v>-30</v>
      </c>
      <c r="K111" s="83">
        <f>IF(B111=B110,0,INDEX(Flexion!D$20:Z$20,Tableau6[[#This Row],[Col.]]))</f>
        <v>0</v>
      </c>
      <c r="L111" s="92">
        <f>$L110+($D111-$D110)*(SUM($J$10:$J110,$K$10:$K110)-$J110/2)</f>
        <v>548100</v>
      </c>
      <c r="M111" s="84">
        <f>Tableau6[[#This Row],[Fr nod.]]+Tableau6[[#This Row],[Fr lin.]]</f>
        <v>0</v>
      </c>
      <c r="N111" s="92">
        <f>Tableau6[[#This Row],[Mt nod.]]+Tableau6[[#This Row],[Mt lin.]]</f>
        <v>424975</v>
      </c>
      <c r="O111" s="82">
        <f t="shared" si="12"/>
        <v>200539437.5</v>
      </c>
      <c r="P111" s="82">
        <f t="shared" ca="1" si="8"/>
        <v>1.1883181899192426E-4</v>
      </c>
      <c r="Q111" s="82">
        <f t="shared" si="13"/>
        <v>1699026718.75</v>
      </c>
      <c r="R111" s="82">
        <f t="shared" ca="1" si="9"/>
        <v>-0.41246058493664717</v>
      </c>
      <c r="S111" s="102">
        <f ca="1">OFFSET($A111,,CHOOSE(Flexion!$A$26,COLUMN($M$9)-1,COLUMN($N$9)-1,COLUMN($P$9)-1,COLUMN($R$9)-1))</f>
        <v>424975</v>
      </c>
    </row>
    <row r="112" spans="1:19" x14ac:dyDescent="0.2">
      <c r="A112" s="83">
        <f t="shared" si="7"/>
        <v>102</v>
      </c>
      <c r="B112" s="83">
        <f>MATCH(Tableau6[[#This Row],[x0]],Flexion!D$11:Z$11,1)</f>
        <v>3</v>
      </c>
      <c r="C112" s="83">
        <f>Tableau6[[#This Row],[N° pas]]*$A$2</f>
        <v>1530</v>
      </c>
      <c r="D112" s="101">
        <f>IF($B112=$B111,Tableau6[[#This Row],[x0]],INDEX(Flexion!D$11:Z$11,$B112))</f>
        <v>1530</v>
      </c>
      <c r="E112" s="83" t="str">
        <f>IF(B112=B111,"-",VALUE(INDEX(Flexion!D$10:Z$10,Tableau6[[#This Row],[Col.]])))</f>
        <v>-</v>
      </c>
      <c r="F112" s="83" t="str">
        <f>IF(E112="-","-",IF(INDEX(Flexion!D$12:Z$12,Tableau6[[#This Row],[Col.]])="","-",INDEX(Flexion!D$12:Z$12,Tableau6[[#This Row],[Col.]])))</f>
        <v>-</v>
      </c>
      <c r="G112" s="84">
        <f>IF(Tableau6[[#This Row],[Nœud]]&lt;&gt;"-",INDEX(Flexion!D$13:Z$13,Tableau6[[#This Row],[Col.]]),)</f>
        <v>0</v>
      </c>
      <c r="H112" s="83">
        <f>IF(Tableau6[[#This Row],[Appui]]&lt;&gt;"-",INDEX(Flexion!D$14:Z$14,Tableau6[[#This Row],[Col.]]),)</f>
        <v>0</v>
      </c>
      <c r="I112" s="92">
        <f>$I111+($D112-$D111)*(SUM($G$10:$G111,$H$10:$H111))</f>
        <v>-121250</v>
      </c>
      <c r="J112" s="84">
        <f>INDEX(Flexion!D$16:Z$16,Tableau6[[#This Row],[Col.]])*($D113-$D112)</f>
        <v>-30</v>
      </c>
      <c r="K112" s="83">
        <f>IF(B112=B111,0,INDEX(Flexion!D$20:Z$20,Tableau6[[#This Row],[Col.]]))</f>
        <v>0</v>
      </c>
      <c r="L112" s="92">
        <f>$L111+($D112-$D111)*(SUM($J$10:$J111,$K$10:$K111)-$J111/2)</f>
        <v>540750</v>
      </c>
      <c r="M112" s="84">
        <f>Tableau6[[#This Row],[Fr nod.]]+Tableau6[[#This Row],[Fr lin.]]</f>
        <v>0</v>
      </c>
      <c r="N112" s="92">
        <f>Tableau6[[#This Row],[Mt nod.]]+Tableau6[[#This Row],[Mt lin.]]</f>
        <v>419500</v>
      </c>
      <c r="O112" s="82">
        <f t="shared" si="12"/>
        <v>206873000</v>
      </c>
      <c r="P112" s="82">
        <f t="shared" ca="1" si="8"/>
        <v>1.3646914146477307E-4</v>
      </c>
      <c r="Q112" s="82">
        <f t="shared" si="13"/>
        <v>4754620000</v>
      </c>
      <c r="R112" s="82">
        <f t="shared" ca="1" si="9"/>
        <v>-0.4105458277332219</v>
      </c>
      <c r="S112" s="102">
        <f ca="1">OFFSET($A112,,CHOOSE(Flexion!$A$26,COLUMN($M$9)-1,COLUMN($N$9)-1,COLUMN($P$9)-1,COLUMN($R$9)-1))</f>
        <v>419500</v>
      </c>
    </row>
    <row r="113" spans="1:19" x14ac:dyDescent="0.2">
      <c r="A113" s="83">
        <f t="shared" si="7"/>
        <v>103</v>
      </c>
      <c r="B113" s="83">
        <f>MATCH(Tableau6[[#This Row],[x0]],Flexion!D$11:Z$11,1)</f>
        <v>3</v>
      </c>
      <c r="C113" s="83">
        <f>Tableau6[[#This Row],[N° pas]]*$A$2</f>
        <v>1545</v>
      </c>
      <c r="D113" s="101">
        <f>IF($B113=$B112,Tableau6[[#This Row],[x0]],INDEX(Flexion!D$11:Z$11,$B113))</f>
        <v>1545</v>
      </c>
      <c r="E113" s="83" t="str">
        <f>IF(B113=B112,"-",VALUE(INDEX(Flexion!D$10:Z$10,Tableau6[[#This Row],[Col.]])))</f>
        <v>-</v>
      </c>
      <c r="F113" s="83" t="str">
        <f>IF(E113="-","-",IF(INDEX(Flexion!D$12:Z$12,Tableau6[[#This Row],[Col.]])="","-",INDEX(Flexion!D$12:Z$12,Tableau6[[#This Row],[Col.]])))</f>
        <v>-</v>
      </c>
      <c r="G113" s="84">
        <f>IF(Tableau6[[#This Row],[Nœud]]&lt;&gt;"-",INDEX(Flexion!D$13:Z$13,Tableau6[[#This Row],[Col.]]),)</f>
        <v>0</v>
      </c>
      <c r="H113" s="83">
        <f>IF(Tableau6[[#This Row],[Appui]]&lt;&gt;"-",INDEX(Flexion!D$14:Z$14,Tableau6[[#This Row],[Col.]]),)</f>
        <v>0</v>
      </c>
      <c r="I113" s="92">
        <f>$I112+($D113-$D112)*(SUM($G$10:$G112,$H$10:$H112))</f>
        <v>-119375</v>
      </c>
      <c r="J113" s="84">
        <f>INDEX(Flexion!D$16:Z$16,Tableau6[[#This Row],[Col.]])*($D114-$D113)</f>
        <v>-30</v>
      </c>
      <c r="K113" s="83">
        <f>IF(B113=B112,0,INDEX(Flexion!D$20:Z$20,Tableau6[[#This Row],[Col.]]))</f>
        <v>0</v>
      </c>
      <c r="L113" s="92">
        <f>$L112+($D113-$D112)*(SUM($J$10:$J112,$K$10:$K112)-$J112/2)</f>
        <v>532950</v>
      </c>
      <c r="M113" s="84">
        <f>Tableau6[[#This Row],[Fr nod.]]+Tableau6[[#This Row],[Fr lin.]]</f>
        <v>0</v>
      </c>
      <c r="N113" s="92">
        <f>Tableau6[[#This Row],[Mt nod.]]+Tableau6[[#This Row],[Mt lin.]]</f>
        <v>413575</v>
      </c>
      <c r="O113" s="82">
        <f t="shared" si="12"/>
        <v>213121062.5</v>
      </c>
      <c r="P113" s="82">
        <f t="shared" ca="1" si="8"/>
        <v>1.5386836869952662E-4</v>
      </c>
      <c r="Q113" s="82">
        <f t="shared" si="13"/>
        <v>7904575468.75</v>
      </c>
      <c r="R113" s="82">
        <f t="shared" ca="1" si="9"/>
        <v>-0.40836829640698979</v>
      </c>
      <c r="S113" s="102">
        <f ca="1">OFFSET($A113,,CHOOSE(Flexion!$A$26,COLUMN($M$9)-1,COLUMN($N$9)-1,COLUMN($P$9)-1,COLUMN($R$9)-1))</f>
        <v>413575</v>
      </c>
    </row>
    <row r="114" spans="1:19" x14ac:dyDescent="0.2">
      <c r="A114" s="83">
        <f t="shared" si="7"/>
        <v>104</v>
      </c>
      <c r="B114" s="83">
        <f>MATCH(Tableau6[[#This Row],[x0]],Flexion!D$11:Z$11,1)</f>
        <v>3</v>
      </c>
      <c r="C114" s="83">
        <f>Tableau6[[#This Row],[N° pas]]*$A$2</f>
        <v>1560</v>
      </c>
      <c r="D114" s="101">
        <f>IF($B114=$B113,Tableau6[[#This Row],[x0]],INDEX(Flexion!D$11:Z$11,$B114))</f>
        <v>1560</v>
      </c>
      <c r="E114" s="83" t="str">
        <f>IF(B114=B113,"-",VALUE(INDEX(Flexion!D$10:Z$10,Tableau6[[#This Row],[Col.]])))</f>
        <v>-</v>
      </c>
      <c r="F114" s="83" t="str">
        <f>IF(E114="-","-",IF(INDEX(Flexion!D$12:Z$12,Tableau6[[#This Row],[Col.]])="","-",INDEX(Flexion!D$12:Z$12,Tableau6[[#This Row],[Col.]])))</f>
        <v>-</v>
      </c>
      <c r="G114" s="84">
        <f>IF(Tableau6[[#This Row],[Nœud]]&lt;&gt;"-",INDEX(Flexion!D$13:Z$13,Tableau6[[#This Row],[Col.]]),)</f>
        <v>0</v>
      </c>
      <c r="H114" s="83">
        <f>IF(Tableau6[[#This Row],[Appui]]&lt;&gt;"-",INDEX(Flexion!D$14:Z$14,Tableau6[[#This Row],[Col.]]),)</f>
        <v>0</v>
      </c>
      <c r="I114" s="92">
        <f>$I113+($D114-$D113)*(SUM($G$10:$G113,$H$10:$H113))</f>
        <v>-117500</v>
      </c>
      <c r="J114" s="84">
        <f>INDEX(Flexion!D$16:Z$16,Tableau6[[#This Row],[Col.]])*($D115-$D114)</f>
        <v>-30</v>
      </c>
      <c r="K114" s="83">
        <f>IF(B114=B113,0,INDEX(Flexion!D$20:Z$20,Tableau6[[#This Row],[Col.]]))</f>
        <v>0</v>
      </c>
      <c r="L114" s="92">
        <f>$L113+($D114-$D113)*(SUM($J$10:$J113,$K$10:$K113)-$J113/2)</f>
        <v>524700</v>
      </c>
      <c r="M114" s="84">
        <f>Tableau6[[#This Row],[Fr nod.]]+Tableau6[[#This Row],[Fr lin.]]</f>
        <v>0</v>
      </c>
      <c r="N114" s="92">
        <f>Tableau6[[#This Row],[Mt nod.]]+Tableau6[[#This Row],[Mt lin.]]</f>
        <v>407200</v>
      </c>
      <c r="O114" s="82">
        <f t="shared" si="12"/>
        <v>219276875</v>
      </c>
      <c r="P114" s="82">
        <f t="shared" ca="1" si="8"/>
        <v>1.7101070370370374E-4</v>
      </c>
      <c r="Q114" s="82">
        <f t="shared" si="13"/>
        <v>11147560000</v>
      </c>
      <c r="R114" s="82">
        <f t="shared" ca="1" si="9"/>
        <v>-0.40593170336396556</v>
      </c>
      <c r="S114" s="102">
        <f ca="1">OFFSET($A114,,CHOOSE(Flexion!$A$26,COLUMN($M$9)-1,COLUMN($N$9)-1,COLUMN($P$9)-1,COLUMN($R$9)-1))</f>
        <v>407200</v>
      </c>
    </row>
    <row r="115" spans="1:19" x14ac:dyDescent="0.2">
      <c r="A115" s="83">
        <f t="shared" si="7"/>
        <v>105</v>
      </c>
      <c r="B115" s="83">
        <f>MATCH(Tableau6[[#This Row],[x0]],Flexion!D$11:Z$11,1)</f>
        <v>3</v>
      </c>
      <c r="C115" s="83">
        <f>Tableau6[[#This Row],[N° pas]]*$A$2</f>
        <v>1575</v>
      </c>
      <c r="D115" s="101">
        <f>IF($B115=$B114,Tableau6[[#This Row],[x0]],INDEX(Flexion!D$11:Z$11,$B115))</f>
        <v>1575</v>
      </c>
      <c r="E115" s="83" t="str">
        <f>IF(B115=B114,"-",VALUE(INDEX(Flexion!D$10:Z$10,Tableau6[[#This Row],[Col.]])))</f>
        <v>-</v>
      </c>
      <c r="F115" s="83" t="str">
        <f>IF(E115="-","-",IF(INDEX(Flexion!D$12:Z$12,Tableau6[[#This Row],[Col.]])="","-",INDEX(Flexion!D$12:Z$12,Tableau6[[#This Row],[Col.]])))</f>
        <v>-</v>
      </c>
      <c r="G115" s="84">
        <f>IF(Tableau6[[#This Row],[Nœud]]&lt;&gt;"-",INDEX(Flexion!D$13:Z$13,Tableau6[[#This Row],[Col.]]),)</f>
        <v>0</v>
      </c>
      <c r="H115" s="83">
        <f>IF(Tableau6[[#This Row],[Appui]]&lt;&gt;"-",INDEX(Flexion!D$14:Z$14,Tableau6[[#This Row],[Col.]]),)</f>
        <v>0</v>
      </c>
      <c r="I115" s="92">
        <f>$I114+($D115-$D114)*(SUM($G$10:$G114,$H$10:$H114))</f>
        <v>-115625</v>
      </c>
      <c r="J115" s="84">
        <f>INDEX(Flexion!D$16:Z$16,Tableau6[[#This Row],[Col.]])*($D116-$D115)</f>
        <v>-30</v>
      </c>
      <c r="K115" s="83">
        <f>IF(B115=B114,0,INDEX(Flexion!D$20:Z$20,Tableau6[[#This Row],[Col.]]))</f>
        <v>0</v>
      </c>
      <c r="L115" s="92">
        <f>$L114+($D115-$D114)*(SUM($J$10:$J114,$K$10:$K114)-$J114/2)</f>
        <v>516000</v>
      </c>
      <c r="M115" s="84">
        <f>Tableau6[[#This Row],[Fr nod.]]+Tableau6[[#This Row],[Fr lin.]]</f>
        <v>0</v>
      </c>
      <c r="N115" s="92">
        <f>Tableau6[[#This Row],[Mt nod.]]+Tableau6[[#This Row],[Mt lin.]]</f>
        <v>400375</v>
      </c>
      <c r="O115" s="82">
        <f t="shared" si="12"/>
        <v>225333687.5</v>
      </c>
      <c r="P115" s="82">
        <f t="shared" ca="1" si="8"/>
        <v>1.8787734948482322E-4</v>
      </c>
      <c r="Q115" s="82">
        <f t="shared" si="13"/>
        <v>14482139218.75</v>
      </c>
      <c r="R115" s="82">
        <f t="shared" ca="1" si="9"/>
        <v>-0.40324004296505156</v>
      </c>
      <c r="S115" s="102">
        <f ca="1">OFFSET($A115,,CHOOSE(Flexion!$A$26,COLUMN($M$9)-1,COLUMN($N$9)-1,COLUMN($P$9)-1,COLUMN($R$9)-1))</f>
        <v>400375</v>
      </c>
    </row>
    <row r="116" spans="1:19" x14ac:dyDescent="0.2">
      <c r="A116" s="83">
        <f t="shared" si="7"/>
        <v>106</v>
      </c>
      <c r="B116" s="83">
        <f>MATCH(Tableau6[[#This Row],[x0]],Flexion!D$11:Z$11,1)</f>
        <v>3</v>
      </c>
      <c r="C116" s="83">
        <f>Tableau6[[#This Row],[N° pas]]*$A$2</f>
        <v>1590</v>
      </c>
      <c r="D116" s="101">
        <f>IF($B116=$B115,Tableau6[[#This Row],[x0]],INDEX(Flexion!D$11:Z$11,$B116))</f>
        <v>1590</v>
      </c>
      <c r="E116" s="83" t="str">
        <f>IF(B116=B115,"-",VALUE(INDEX(Flexion!D$10:Z$10,Tableau6[[#This Row],[Col.]])))</f>
        <v>-</v>
      </c>
      <c r="F116" s="83" t="str">
        <f>IF(E116="-","-",IF(INDEX(Flexion!D$12:Z$12,Tableau6[[#This Row],[Col.]])="","-",INDEX(Flexion!D$12:Z$12,Tableau6[[#This Row],[Col.]])))</f>
        <v>-</v>
      </c>
      <c r="G116" s="84">
        <f>IF(Tableau6[[#This Row],[Nœud]]&lt;&gt;"-",INDEX(Flexion!D$13:Z$13,Tableau6[[#This Row],[Col.]]),)</f>
        <v>0</v>
      </c>
      <c r="H116" s="83">
        <f>IF(Tableau6[[#This Row],[Appui]]&lt;&gt;"-",INDEX(Flexion!D$14:Z$14,Tableau6[[#This Row],[Col.]]),)</f>
        <v>0</v>
      </c>
      <c r="I116" s="92">
        <f>$I115+($D116-$D115)*(SUM($G$10:$G115,$H$10:$H115))</f>
        <v>-113750</v>
      </c>
      <c r="J116" s="84">
        <f>INDEX(Flexion!D$16:Z$16,Tableau6[[#This Row],[Col.]])*($D117-$D116)</f>
        <v>-30</v>
      </c>
      <c r="K116" s="83">
        <f>IF(B116=B115,0,INDEX(Flexion!D$20:Z$20,Tableau6[[#This Row],[Col.]]))</f>
        <v>0</v>
      </c>
      <c r="L116" s="92">
        <f>$L115+($D116-$D115)*(SUM($J$10:$J115,$K$10:$K115)-$J115/2)</f>
        <v>506850</v>
      </c>
      <c r="M116" s="84">
        <f>Tableau6[[#This Row],[Fr nod.]]+Tableau6[[#This Row],[Fr lin.]]</f>
        <v>0</v>
      </c>
      <c r="N116" s="92">
        <f>Tableau6[[#This Row],[Mt nod.]]+Tableau6[[#This Row],[Mt lin.]]</f>
        <v>393100</v>
      </c>
      <c r="O116" s="82">
        <f t="shared" si="12"/>
        <v>231284750</v>
      </c>
      <c r="P116" s="82">
        <f t="shared" ca="1" si="8"/>
        <v>2.0444950905040377E-4</v>
      </c>
      <c r="Q116" s="82">
        <f t="shared" si="13"/>
        <v>17906777500</v>
      </c>
      <c r="R116" s="82">
        <f t="shared" ca="1" si="9"/>
        <v>-0.40029759152603728</v>
      </c>
      <c r="S116" s="102">
        <f ca="1">OFFSET($A116,,CHOOSE(Flexion!$A$26,COLUMN($M$9)-1,COLUMN($N$9)-1,COLUMN($P$9)-1,COLUMN($R$9)-1))</f>
        <v>393100</v>
      </c>
    </row>
    <row r="117" spans="1:19" x14ac:dyDescent="0.2">
      <c r="A117" s="83">
        <f t="shared" si="7"/>
        <v>107</v>
      </c>
      <c r="B117" s="83">
        <f>MATCH(Tableau6[[#This Row],[x0]],Flexion!D$11:Z$11,1)</f>
        <v>3</v>
      </c>
      <c r="C117" s="83">
        <f>Tableau6[[#This Row],[N° pas]]*$A$2</f>
        <v>1605</v>
      </c>
      <c r="D117" s="101">
        <f>IF($B117=$B116,Tableau6[[#This Row],[x0]],INDEX(Flexion!D$11:Z$11,$B117))</f>
        <v>1605</v>
      </c>
      <c r="E117" s="83" t="str">
        <f>IF(B117=B116,"-",VALUE(INDEX(Flexion!D$10:Z$10,Tableau6[[#This Row],[Col.]])))</f>
        <v>-</v>
      </c>
      <c r="F117" s="83" t="str">
        <f>IF(E117="-","-",IF(INDEX(Flexion!D$12:Z$12,Tableau6[[#This Row],[Col.]])="","-",INDEX(Flexion!D$12:Z$12,Tableau6[[#This Row],[Col.]])))</f>
        <v>-</v>
      </c>
      <c r="G117" s="84">
        <f>IF(Tableau6[[#This Row],[Nœud]]&lt;&gt;"-",INDEX(Flexion!D$13:Z$13,Tableau6[[#This Row],[Col.]]),)</f>
        <v>0</v>
      </c>
      <c r="H117" s="83">
        <f>IF(Tableau6[[#This Row],[Appui]]&lt;&gt;"-",INDEX(Flexion!D$14:Z$14,Tableau6[[#This Row],[Col.]]),)</f>
        <v>0</v>
      </c>
      <c r="I117" s="92">
        <f>$I116+($D117-$D116)*(SUM($G$10:$G116,$H$10:$H116))</f>
        <v>-111875</v>
      </c>
      <c r="J117" s="84">
        <f>INDEX(Flexion!D$16:Z$16,Tableau6[[#This Row],[Col.]])*($D118-$D117)</f>
        <v>-30</v>
      </c>
      <c r="K117" s="83">
        <f>IF(B117=B116,0,INDEX(Flexion!D$20:Z$20,Tableau6[[#This Row],[Col.]]))</f>
        <v>0</v>
      </c>
      <c r="L117" s="92">
        <f>$L116+($D117-$D116)*(SUM($J$10:$J116,$K$10:$K116)-$J116/2)</f>
        <v>497250</v>
      </c>
      <c r="M117" s="84">
        <f>Tableau6[[#This Row],[Fr nod.]]+Tableau6[[#This Row],[Fr lin.]]</f>
        <v>0</v>
      </c>
      <c r="N117" s="92">
        <f>Tableau6[[#This Row],[Mt nod.]]+Tableau6[[#This Row],[Mt lin.]]</f>
        <v>385375</v>
      </c>
      <c r="O117" s="82">
        <f t="shared" si="12"/>
        <v>237123312.5</v>
      </c>
      <c r="P117" s="82">
        <f t="shared" ca="1" si="8"/>
        <v>2.207083854079644E-4</v>
      </c>
      <c r="Q117" s="82">
        <f t="shared" si="13"/>
        <v>21419837968.75</v>
      </c>
      <c r="R117" s="82">
        <f t="shared" ca="1" si="9"/>
        <v>-0.39710890731759951</v>
      </c>
      <c r="S117" s="102">
        <f ca="1">OFFSET($A117,,CHOOSE(Flexion!$A$26,COLUMN($M$9)-1,COLUMN($N$9)-1,COLUMN($P$9)-1,COLUMN($R$9)-1))</f>
        <v>385375</v>
      </c>
    </row>
    <row r="118" spans="1:19" x14ac:dyDescent="0.2">
      <c r="A118" s="83">
        <f t="shared" si="7"/>
        <v>108</v>
      </c>
      <c r="B118" s="83">
        <f>MATCH(Tableau6[[#This Row],[x0]],Flexion!D$11:Z$11,1)</f>
        <v>3</v>
      </c>
      <c r="C118" s="83">
        <f>Tableau6[[#This Row],[N° pas]]*$A$2</f>
        <v>1620</v>
      </c>
      <c r="D118" s="101">
        <f>IF($B118=$B117,Tableau6[[#This Row],[x0]],INDEX(Flexion!D$11:Z$11,$B118))</f>
        <v>1620</v>
      </c>
      <c r="E118" s="83" t="str">
        <f>IF(B118=B117,"-",VALUE(INDEX(Flexion!D$10:Z$10,Tableau6[[#This Row],[Col.]])))</f>
        <v>-</v>
      </c>
      <c r="F118" s="83" t="str">
        <f>IF(E118="-","-",IF(INDEX(Flexion!D$12:Z$12,Tableau6[[#This Row],[Col.]])="","-",INDEX(Flexion!D$12:Z$12,Tableau6[[#This Row],[Col.]])))</f>
        <v>-</v>
      </c>
      <c r="G118" s="84">
        <f>IF(Tableau6[[#This Row],[Nœud]]&lt;&gt;"-",INDEX(Flexion!D$13:Z$13,Tableau6[[#This Row],[Col.]]),)</f>
        <v>0</v>
      </c>
      <c r="H118" s="83">
        <f>IF(Tableau6[[#This Row],[Appui]]&lt;&gt;"-",INDEX(Flexion!D$14:Z$14,Tableau6[[#This Row],[Col.]]),)</f>
        <v>0</v>
      </c>
      <c r="I118" s="92">
        <f>$I117+($D118-$D117)*(SUM($G$10:$G117,$H$10:$H117))</f>
        <v>-110000</v>
      </c>
      <c r="J118" s="84">
        <f>INDEX(Flexion!D$16:Z$16,Tableau6[[#This Row],[Col.]])*($D119-$D118)</f>
        <v>-30</v>
      </c>
      <c r="K118" s="83">
        <f>IF(B118=B117,0,INDEX(Flexion!D$20:Z$20,Tableau6[[#This Row],[Col.]]))</f>
        <v>0</v>
      </c>
      <c r="L118" s="92">
        <f>$L117+($D118-$D117)*(SUM($J$10:$J117,$K$10:$K117)-$J117/2)</f>
        <v>487200</v>
      </c>
      <c r="M118" s="84">
        <f>Tableau6[[#This Row],[Fr nod.]]+Tableau6[[#This Row],[Fr lin.]]</f>
        <v>0</v>
      </c>
      <c r="N118" s="92">
        <f>Tableau6[[#This Row],[Mt nod.]]+Tableau6[[#This Row],[Mt lin.]]</f>
        <v>377200</v>
      </c>
      <c r="O118" s="82">
        <f t="shared" si="12"/>
        <v>242842625</v>
      </c>
      <c r="P118" s="82">
        <f t="shared" ca="1" si="8"/>
        <v>2.3663518156502372E-4</v>
      </c>
      <c r="Q118" s="82">
        <f t="shared" si="13"/>
        <v>25019582500</v>
      </c>
      <c r="R118" s="82">
        <f t="shared" ca="1" si="9"/>
        <v>-0.39367883056530217</v>
      </c>
      <c r="S118" s="102">
        <f ca="1">OFFSET($A118,,CHOOSE(Flexion!$A$26,COLUMN($M$9)-1,COLUMN($N$9)-1,COLUMN($P$9)-1,COLUMN($R$9)-1))</f>
        <v>377200</v>
      </c>
    </row>
    <row r="119" spans="1:19" x14ac:dyDescent="0.2">
      <c r="A119" s="83">
        <f t="shared" si="7"/>
        <v>109</v>
      </c>
      <c r="B119" s="83">
        <f>MATCH(Tableau6[[#This Row],[x0]],Flexion!D$11:Z$11,1)</f>
        <v>3</v>
      </c>
      <c r="C119" s="83">
        <f>Tableau6[[#This Row],[N° pas]]*$A$2</f>
        <v>1635</v>
      </c>
      <c r="D119" s="101">
        <f>IF($B119=$B118,Tableau6[[#This Row],[x0]],INDEX(Flexion!D$11:Z$11,$B119))</f>
        <v>1635</v>
      </c>
      <c r="E119" s="83" t="str">
        <f>IF(B119=B118,"-",VALUE(INDEX(Flexion!D$10:Z$10,Tableau6[[#This Row],[Col.]])))</f>
        <v>-</v>
      </c>
      <c r="F119" s="83" t="str">
        <f>IF(E119="-","-",IF(INDEX(Flexion!D$12:Z$12,Tableau6[[#This Row],[Col.]])="","-",INDEX(Flexion!D$12:Z$12,Tableau6[[#This Row],[Col.]])))</f>
        <v>-</v>
      </c>
      <c r="G119" s="84">
        <f>IF(Tableau6[[#This Row],[Nœud]]&lt;&gt;"-",INDEX(Flexion!D$13:Z$13,Tableau6[[#This Row],[Col.]]),)</f>
        <v>0</v>
      </c>
      <c r="H119" s="83">
        <f>IF(Tableau6[[#This Row],[Appui]]&lt;&gt;"-",INDEX(Flexion!D$14:Z$14,Tableau6[[#This Row],[Col.]]),)</f>
        <v>0</v>
      </c>
      <c r="I119" s="92">
        <f>$I118+($D119-$D118)*(SUM($G$10:$G118,$H$10:$H118))</f>
        <v>-108125</v>
      </c>
      <c r="J119" s="84">
        <f>INDEX(Flexion!D$16:Z$16,Tableau6[[#This Row],[Col.]])*($D120-$D119)</f>
        <v>-30</v>
      </c>
      <c r="K119" s="83">
        <f>IF(B119=B118,0,INDEX(Flexion!D$20:Z$20,Tableau6[[#This Row],[Col.]]))</f>
        <v>0</v>
      </c>
      <c r="L119" s="92">
        <f>$L118+($D119-$D118)*(SUM($J$10:$J118,$K$10:$K118)-$J118/2)</f>
        <v>476700</v>
      </c>
      <c r="M119" s="84">
        <f>Tableau6[[#This Row],[Fr nod.]]+Tableau6[[#This Row],[Fr lin.]]</f>
        <v>0</v>
      </c>
      <c r="N119" s="92">
        <f>Tableau6[[#This Row],[Mt nod.]]+Tableau6[[#This Row],[Mt lin.]]</f>
        <v>368575</v>
      </c>
      <c r="O119" s="82">
        <f t="shared" si="12"/>
        <v>248435937.5</v>
      </c>
      <c r="P119" s="82">
        <f t="shared" ca="1" si="8"/>
        <v>2.5221110052910052E-4</v>
      </c>
      <c r="Q119" s="82">
        <f t="shared" si="13"/>
        <v>28704171718.75</v>
      </c>
      <c r="R119" s="82">
        <f t="shared" ca="1" si="9"/>
        <v>-0.39001248344959627</v>
      </c>
      <c r="S119" s="102">
        <f ca="1">OFFSET($A119,,CHOOSE(Flexion!$A$26,COLUMN($M$9)-1,COLUMN($N$9)-1,COLUMN($P$9)-1,COLUMN($R$9)-1))</f>
        <v>368575</v>
      </c>
    </row>
    <row r="120" spans="1:19" x14ac:dyDescent="0.2">
      <c r="A120" s="83">
        <f t="shared" si="7"/>
        <v>110</v>
      </c>
      <c r="B120" s="83">
        <f>MATCH(Tableau6[[#This Row],[x0]],Flexion!D$11:Z$11,1)</f>
        <v>3</v>
      </c>
      <c r="C120" s="83">
        <f>Tableau6[[#This Row],[N° pas]]*$A$2</f>
        <v>1650</v>
      </c>
      <c r="D120" s="101">
        <f>IF($B120=$B119,Tableau6[[#This Row],[x0]],INDEX(Flexion!D$11:Z$11,$B120))</f>
        <v>1650</v>
      </c>
      <c r="E120" s="83" t="str">
        <f>IF(B120=B119,"-",VALUE(INDEX(Flexion!D$10:Z$10,Tableau6[[#This Row],[Col.]])))</f>
        <v>-</v>
      </c>
      <c r="F120" s="83" t="str">
        <f>IF(E120="-","-",IF(INDEX(Flexion!D$12:Z$12,Tableau6[[#This Row],[Col.]])="","-",INDEX(Flexion!D$12:Z$12,Tableau6[[#This Row],[Col.]])))</f>
        <v>-</v>
      </c>
      <c r="G120" s="84">
        <f>IF(Tableau6[[#This Row],[Nœud]]&lt;&gt;"-",INDEX(Flexion!D$13:Z$13,Tableau6[[#This Row],[Col.]]),)</f>
        <v>0</v>
      </c>
      <c r="H120" s="83">
        <f>IF(Tableau6[[#This Row],[Appui]]&lt;&gt;"-",INDEX(Flexion!D$14:Z$14,Tableau6[[#This Row],[Col.]]),)</f>
        <v>0</v>
      </c>
      <c r="I120" s="92">
        <f>$I119+($D120-$D119)*(SUM($G$10:$G119,$H$10:$H119))</f>
        <v>-106250</v>
      </c>
      <c r="J120" s="84">
        <f>INDEX(Flexion!D$16:Z$16,Tableau6[[#This Row],[Col.]])*($D121-$D120)</f>
        <v>-30</v>
      </c>
      <c r="K120" s="83">
        <f>IF(B120=B119,0,INDEX(Flexion!D$20:Z$20,Tableau6[[#This Row],[Col.]]))</f>
        <v>0</v>
      </c>
      <c r="L120" s="92">
        <f>$L119+($D120-$D119)*(SUM($J$10:$J119,$K$10:$K119)-$J119/2)</f>
        <v>465750</v>
      </c>
      <c r="M120" s="84">
        <f>Tableau6[[#This Row],[Fr nod.]]+Tableau6[[#This Row],[Fr lin.]]</f>
        <v>0</v>
      </c>
      <c r="N120" s="92">
        <f>Tableau6[[#This Row],[Mt nod.]]+Tableau6[[#This Row],[Mt lin.]]</f>
        <v>359500</v>
      </c>
      <c r="O120" s="82">
        <f t="shared" si="12"/>
        <v>253896500</v>
      </c>
      <c r="P120" s="82">
        <f t="shared" ca="1" si="8"/>
        <v>2.6741734530771373E-4</v>
      </c>
      <c r="Q120" s="82">
        <f t="shared" si="13"/>
        <v>32471665000</v>
      </c>
      <c r="R120" s="82">
        <f t="shared" ca="1" si="9"/>
        <v>-0.38611527010582014</v>
      </c>
      <c r="S120" s="102">
        <f ca="1">OFFSET($A120,,CHOOSE(Flexion!$A$26,COLUMN($M$9)-1,COLUMN($N$9)-1,COLUMN($P$9)-1,COLUMN($R$9)-1))</f>
        <v>359500</v>
      </c>
    </row>
    <row r="121" spans="1:19" x14ac:dyDescent="0.2">
      <c r="A121" s="83">
        <f t="shared" si="7"/>
        <v>111</v>
      </c>
      <c r="B121" s="83">
        <f>MATCH(Tableau6[[#This Row],[x0]],Flexion!D$11:Z$11,1)</f>
        <v>3</v>
      </c>
      <c r="C121" s="83">
        <f>Tableau6[[#This Row],[N° pas]]*$A$2</f>
        <v>1665</v>
      </c>
      <c r="D121" s="101">
        <f>IF($B121=$B120,Tableau6[[#This Row],[x0]],INDEX(Flexion!D$11:Z$11,$B121))</f>
        <v>1665</v>
      </c>
      <c r="E121" s="83" t="str">
        <f>IF(B121=B120,"-",VALUE(INDEX(Flexion!D$10:Z$10,Tableau6[[#This Row],[Col.]])))</f>
        <v>-</v>
      </c>
      <c r="F121" s="83" t="str">
        <f>IF(E121="-","-",IF(INDEX(Flexion!D$12:Z$12,Tableau6[[#This Row],[Col.]])="","-",INDEX(Flexion!D$12:Z$12,Tableau6[[#This Row],[Col.]])))</f>
        <v>-</v>
      </c>
      <c r="G121" s="84">
        <f>IF(Tableau6[[#This Row],[Nœud]]&lt;&gt;"-",INDEX(Flexion!D$13:Z$13,Tableau6[[#This Row],[Col.]]),)</f>
        <v>0</v>
      </c>
      <c r="H121" s="83">
        <f>IF(Tableau6[[#This Row],[Appui]]&lt;&gt;"-",INDEX(Flexion!D$14:Z$14,Tableau6[[#This Row],[Col.]]),)</f>
        <v>0</v>
      </c>
      <c r="I121" s="92">
        <f>$I120+($D121-$D120)*(SUM($G$10:$G120,$H$10:$H120))</f>
        <v>-104375</v>
      </c>
      <c r="J121" s="84">
        <f>INDEX(Flexion!D$16:Z$16,Tableau6[[#This Row],[Col.]])*($D122-$D121)</f>
        <v>-30</v>
      </c>
      <c r="K121" s="83">
        <f>IF(B121=B120,0,INDEX(Flexion!D$20:Z$20,Tableau6[[#This Row],[Col.]]))</f>
        <v>0</v>
      </c>
      <c r="L121" s="92">
        <f>$L120+($D121-$D120)*(SUM($J$10:$J120,$K$10:$K120)-$J120/2)</f>
        <v>454350</v>
      </c>
      <c r="M121" s="84">
        <f>Tableau6[[#This Row],[Fr nod.]]+Tableau6[[#This Row],[Fr lin.]]</f>
        <v>0</v>
      </c>
      <c r="N121" s="92">
        <f>Tableau6[[#This Row],[Mt nod.]]+Tableau6[[#This Row],[Mt lin.]]</f>
        <v>349975</v>
      </c>
      <c r="O121" s="82">
        <f t="shared" si="12"/>
        <v>259217562.5</v>
      </c>
      <c r="P121" s="82">
        <f t="shared" ca="1" si="8"/>
        <v>2.8223511890838204E-4</v>
      </c>
      <c r="Q121" s="82">
        <f t="shared" si="13"/>
        <v>36320020468.75</v>
      </c>
      <c r="R121" s="82">
        <f t="shared" ca="1" si="9"/>
        <v>-0.38199287662419945</v>
      </c>
      <c r="S121" s="102">
        <f ca="1">OFFSET($A121,,CHOOSE(Flexion!$A$26,COLUMN($M$9)-1,COLUMN($N$9)-1,COLUMN($P$9)-1,COLUMN($R$9)-1))</f>
        <v>349975</v>
      </c>
    </row>
    <row r="122" spans="1:19" x14ac:dyDescent="0.2">
      <c r="A122" s="83">
        <f t="shared" si="7"/>
        <v>112</v>
      </c>
      <c r="B122" s="83">
        <f>MATCH(Tableau6[[#This Row],[x0]],Flexion!D$11:Z$11,1)</f>
        <v>3</v>
      </c>
      <c r="C122" s="83">
        <f>Tableau6[[#This Row],[N° pas]]*$A$2</f>
        <v>1680</v>
      </c>
      <c r="D122" s="101">
        <f>IF($B122=$B121,Tableau6[[#This Row],[x0]],INDEX(Flexion!D$11:Z$11,$B122))</f>
        <v>1680</v>
      </c>
      <c r="E122" s="83" t="str">
        <f>IF(B122=B121,"-",VALUE(INDEX(Flexion!D$10:Z$10,Tableau6[[#This Row],[Col.]])))</f>
        <v>-</v>
      </c>
      <c r="F122" s="83" t="str">
        <f>IF(E122="-","-",IF(INDEX(Flexion!D$12:Z$12,Tableau6[[#This Row],[Col.]])="","-",INDEX(Flexion!D$12:Z$12,Tableau6[[#This Row],[Col.]])))</f>
        <v>-</v>
      </c>
      <c r="G122" s="84">
        <f>IF(Tableau6[[#This Row],[Nœud]]&lt;&gt;"-",INDEX(Flexion!D$13:Z$13,Tableau6[[#This Row],[Col.]]),)</f>
        <v>0</v>
      </c>
      <c r="H122" s="83">
        <f>IF(Tableau6[[#This Row],[Appui]]&lt;&gt;"-",INDEX(Flexion!D$14:Z$14,Tableau6[[#This Row],[Col.]]),)</f>
        <v>0</v>
      </c>
      <c r="I122" s="92">
        <f>$I121+($D122-$D121)*(SUM($G$10:$G121,$H$10:$H121))</f>
        <v>-102500</v>
      </c>
      <c r="J122" s="84">
        <f>INDEX(Flexion!D$16:Z$16,Tableau6[[#This Row],[Col.]])*($D123-$D122)</f>
        <v>-30</v>
      </c>
      <c r="K122" s="83">
        <f>IF(B122=B121,0,INDEX(Flexion!D$20:Z$20,Tableau6[[#This Row],[Col.]]))</f>
        <v>0</v>
      </c>
      <c r="L122" s="92">
        <f>$L121+($D122-$D121)*(SUM($J$10:$J121,$K$10:$K121)-$J121/2)</f>
        <v>442500</v>
      </c>
      <c r="M122" s="84">
        <f>Tableau6[[#This Row],[Fr nod.]]+Tableau6[[#This Row],[Fr lin.]]</f>
        <v>0</v>
      </c>
      <c r="N122" s="92">
        <f>Tableau6[[#This Row],[Mt nod.]]+Tableau6[[#This Row],[Mt lin.]]</f>
        <v>340000</v>
      </c>
      <c r="O122" s="82">
        <f t="shared" si="12"/>
        <v>264392375</v>
      </c>
      <c r="P122" s="82">
        <f t="shared" ca="1" si="8"/>
        <v>2.9664562433862437E-4</v>
      </c>
      <c r="Q122" s="82">
        <f t="shared" si="13"/>
        <v>40247095000</v>
      </c>
      <c r="R122" s="82">
        <f t="shared" ca="1" si="9"/>
        <v>-0.37765127104984686</v>
      </c>
      <c r="S122" s="102">
        <f ca="1">OFFSET($A122,,CHOOSE(Flexion!$A$26,COLUMN($M$9)-1,COLUMN($N$9)-1,COLUMN($P$9)-1,COLUMN($R$9)-1))</f>
        <v>340000</v>
      </c>
    </row>
    <row r="123" spans="1:19" x14ac:dyDescent="0.2">
      <c r="A123" s="83">
        <f t="shared" si="7"/>
        <v>113</v>
      </c>
      <c r="B123" s="83">
        <f>MATCH(Tableau6[[#This Row],[x0]],Flexion!D$11:Z$11,1)</f>
        <v>3</v>
      </c>
      <c r="C123" s="83">
        <f>Tableau6[[#This Row],[N° pas]]*$A$2</f>
        <v>1695</v>
      </c>
      <c r="D123" s="101">
        <f>IF($B123=$B122,Tableau6[[#This Row],[x0]],INDEX(Flexion!D$11:Z$11,$B123))</f>
        <v>1695</v>
      </c>
      <c r="E123" s="83" t="str">
        <f>IF(B123=B122,"-",VALUE(INDEX(Flexion!D$10:Z$10,Tableau6[[#This Row],[Col.]])))</f>
        <v>-</v>
      </c>
      <c r="F123" s="83" t="str">
        <f>IF(E123="-","-",IF(INDEX(Flexion!D$12:Z$12,Tableau6[[#This Row],[Col.]])="","-",INDEX(Flexion!D$12:Z$12,Tableau6[[#This Row],[Col.]])))</f>
        <v>-</v>
      </c>
      <c r="G123" s="84">
        <f>IF(Tableau6[[#This Row],[Nœud]]&lt;&gt;"-",INDEX(Flexion!D$13:Z$13,Tableau6[[#This Row],[Col.]]),)</f>
        <v>0</v>
      </c>
      <c r="H123" s="83">
        <f>IF(Tableau6[[#This Row],[Appui]]&lt;&gt;"-",INDEX(Flexion!D$14:Z$14,Tableau6[[#This Row],[Col.]]),)</f>
        <v>0</v>
      </c>
      <c r="I123" s="92">
        <f>$I122+($D123-$D122)*(SUM($G$10:$G122,$H$10:$H122))</f>
        <v>-100625</v>
      </c>
      <c r="J123" s="84">
        <f>INDEX(Flexion!D$16:Z$16,Tableau6[[#This Row],[Col.]])*($D124-$D123)</f>
        <v>-10</v>
      </c>
      <c r="K123" s="83">
        <f>IF(B123=B122,0,INDEX(Flexion!D$20:Z$20,Tableau6[[#This Row],[Col.]]))</f>
        <v>0</v>
      </c>
      <c r="L123" s="92">
        <f>$L122+($D123-$D122)*(SUM($J$10:$J122,$K$10:$K122)-$J122/2)</f>
        <v>430200</v>
      </c>
      <c r="M123" s="84">
        <f>Tableau6[[#This Row],[Fr nod.]]+Tableau6[[#This Row],[Fr lin.]]</f>
        <v>0</v>
      </c>
      <c r="N123" s="92">
        <f>Tableau6[[#This Row],[Mt nod.]]+Tableau6[[#This Row],[Mt lin.]]</f>
        <v>329575</v>
      </c>
      <c r="O123" s="82">
        <f t="shared" si="12"/>
        <v>269414187.5</v>
      </c>
      <c r="P123" s="82">
        <f t="shared" ca="1" si="8"/>
        <v>3.1063006460595931E-4</v>
      </c>
      <c r="Q123" s="82">
        <f t="shared" si="13"/>
        <v>44250644218.75</v>
      </c>
      <c r="R123" s="82">
        <f t="shared" ca="1" si="9"/>
        <v>-0.37309670338276257</v>
      </c>
      <c r="S123" s="102">
        <f ca="1">OFFSET($A123,,CHOOSE(Flexion!$A$26,COLUMN($M$9)-1,COLUMN($N$9)-1,COLUMN($P$9)-1,COLUMN($R$9)-1))</f>
        <v>329575</v>
      </c>
    </row>
    <row r="124" spans="1:19" x14ac:dyDescent="0.2">
      <c r="A124" s="83">
        <f t="shared" si="7"/>
        <v>114</v>
      </c>
      <c r="B124" s="83">
        <f>MATCH(Tableau6[[#This Row],[x0]],Flexion!D$11:Z$11,1)</f>
        <v>4</v>
      </c>
      <c r="C124" s="83">
        <f>Tableau6[[#This Row],[N° pas]]*$A$2</f>
        <v>1710</v>
      </c>
      <c r="D124" s="101">
        <f>IF($B124=$B123,Tableau6[[#This Row],[x0]],INDEX(Flexion!D$11:Z$11,$B124))</f>
        <v>1700</v>
      </c>
      <c r="E124" s="83">
        <f>IF(B124=B123,"-",VALUE(INDEX(Flexion!D$10:Z$10,Tableau6[[#This Row],[Col.]])))</f>
        <v>4</v>
      </c>
      <c r="F124" s="83" t="str">
        <f>IF(E124="-","-",IF(INDEX(Flexion!D$12:Z$12,Tableau6[[#This Row],[Col.]])="","-",INDEX(Flexion!D$12:Z$12,Tableau6[[#This Row],[Col.]])))</f>
        <v>-</v>
      </c>
      <c r="G124" s="84">
        <f>IF(Tableau6[[#This Row],[Nœud]]&lt;&gt;"-",INDEX(Flexion!D$13:Z$13,Tableau6[[#This Row],[Col.]]),)</f>
        <v>0</v>
      </c>
      <c r="H124" s="83">
        <f>IF(Tableau6[[#This Row],[Appui]]&lt;&gt;"-",INDEX(Flexion!D$14:Z$14,Tableau6[[#This Row],[Col.]]),)</f>
        <v>0</v>
      </c>
      <c r="I124" s="92">
        <f>$I123+($D124-$D123)*(SUM($G$10:$G123,$H$10:$H123))</f>
        <v>-100000</v>
      </c>
      <c r="J124" s="84">
        <f>INDEX(Flexion!D$16:Z$16,Tableau6[[#This Row],[Col.]])*($D125-$D124)</f>
        <v>0</v>
      </c>
      <c r="K124" s="83">
        <f>IF(B124=B123,0,INDEX(Flexion!D$20:Z$20,Tableau6[[#This Row],[Col.]]))</f>
        <v>0</v>
      </c>
      <c r="L124" s="92">
        <f>$L123+($D124-$D123)*(SUM($J$10:$J123,$K$10:$K123)-$J123/2)</f>
        <v>426000</v>
      </c>
      <c r="M124" s="84">
        <f>Tableau6[[#This Row],[Fr nod.]]+Tableau6[[#This Row],[Fr lin.]]</f>
        <v>0</v>
      </c>
      <c r="N124" s="92">
        <f>Tableau6[[#This Row],[Mt nod.]]+Tableau6[[#This Row],[Mt lin.]]</f>
        <v>326000</v>
      </c>
      <c r="O124" s="82">
        <f t="shared" si="12"/>
        <v>271053125</v>
      </c>
      <c r="P124" s="82">
        <f t="shared" ca="1" si="8"/>
        <v>3.1519407880813149E-4</v>
      </c>
      <c r="Q124" s="82">
        <f t="shared" si="13"/>
        <v>45601812500</v>
      </c>
      <c r="R124" s="82">
        <f t="shared" ca="1" si="9"/>
        <v>-0.37153214302422721</v>
      </c>
      <c r="S124" s="102">
        <f ca="1">OFFSET($A124,,CHOOSE(Flexion!$A$26,COLUMN($M$9)-1,COLUMN($N$9)-1,COLUMN($P$9)-1,COLUMN($R$9)-1))</f>
        <v>326000</v>
      </c>
    </row>
    <row r="125" spans="1:19" x14ac:dyDescent="0.2">
      <c r="A125" s="83">
        <f t="shared" si="7"/>
        <v>115</v>
      </c>
      <c r="B125" s="83">
        <f>MATCH(Tableau6[[#This Row],[x0]],Flexion!D$11:Z$11,1)</f>
        <v>4</v>
      </c>
      <c r="C125" s="83">
        <f>Tableau6[[#This Row],[N° pas]]*$A$2</f>
        <v>1725</v>
      </c>
      <c r="D125" s="101">
        <f>IF($B125=$B124,Tableau6[[#This Row],[x0]],INDEX(Flexion!D$11:Z$11,$B125))</f>
        <v>1725</v>
      </c>
      <c r="E125" s="83" t="str">
        <f>IF(B125=B124,"-",VALUE(INDEX(Flexion!D$10:Z$10,Tableau6[[#This Row],[Col.]])))</f>
        <v>-</v>
      </c>
      <c r="F125" s="83" t="str">
        <f>IF(E125="-","-",IF(INDEX(Flexion!D$12:Z$12,Tableau6[[#This Row],[Col.]])="","-",INDEX(Flexion!D$12:Z$12,Tableau6[[#This Row],[Col.]])))</f>
        <v>-</v>
      </c>
      <c r="G125" s="84">
        <f>IF(Tableau6[[#This Row],[Nœud]]&lt;&gt;"-",INDEX(Flexion!D$13:Z$13,Tableau6[[#This Row],[Col.]]),)</f>
        <v>0</v>
      </c>
      <c r="H125" s="83">
        <f>IF(Tableau6[[#This Row],[Appui]]&lt;&gt;"-",INDEX(Flexion!D$14:Z$14,Tableau6[[#This Row],[Col.]]),)</f>
        <v>0</v>
      </c>
      <c r="I125" s="92">
        <f>$I124+($D125-$D124)*(SUM($G$10:$G124,$H$10:$H124))</f>
        <v>-96875</v>
      </c>
      <c r="J125" s="84">
        <f>INDEX(Flexion!D$16:Z$16,Tableau6[[#This Row],[Col.]])*($D126-$D125)</f>
        <v>0</v>
      </c>
      <c r="K125" s="83">
        <f>IF(B125=B124,0,INDEX(Flexion!D$20:Z$20,Tableau6[[#This Row],[Col.]]))</f>
        <v>0</v>
      </c>
      <c r="L125" s="92">
        <f>$L124+($D125-$D124)*(SUM($J$10:$J124,$K$10:$K124)-$J124/2)</f>
        <v>404875</v>
      </c>
      <c r="M125" s="84">
        <f>Tableau6[[#This Row],[Fr nod.]]+Tableau6[[#This Row],[Fr lin.]]</f>
        <v>0</v>
      </c>
      <c r="N125" s="92">
        <f>Tableau6[[#This Row],[Mt nod.]]+Tableau6[[#This Row],[Mt lin.]]</f>
        <v>308000</v>
      </c>
      <c r="O125" s="82">
        <f t="shared" si="12"/>
        <v>278978125</v>
      </c>
      <c r="P125" s="82">
        <f t="shared" ca="1" si="8"/>
        <v>3.3726314035087721E-4</v>
      </c>
      <c r="Q125" s="82">
        <f t="shared" si="13"/>
        <v>52477203125</v>
      </c>
      <c r="R125" s="82">
        <f t="shared" ca="1" si="9"/>
        <v>-0.36337642778473966</v>
      </c>
      <c r="S125" s="102">
        <f ca="1">OFFSET($A125,,CHOOSE(Flexion!$A$26,COLUMN($M$9)-1,COLUMN($N$9)-1,COLUMN($P$9)-1,COLUMN($R$9)-1))</f>
        <v>308000</v>
      </c>
    </row>
    <row r="126" spans="1:19" x14ac:dyDescent="0.2">
      <c r="A126" s="83">
        <f t="shared" si="7"/>
        <v>116</v>
      </c>
      <c r="B126" s="83">
        <f>MATCH(Tableau6[[#This Row],[x0]],Flexion!D$11:Z$11,1)</f>
        <v>4</v>
      </c>
      <c r="C126" s="83">
        <f>Tableau6[[#This Row],[N° pas]]*$A$2</f>
        <v>1740</v>
      </c>
      <c r="D126" s="101">
        <f>IF($B126=$B125,Tableau6[[#This Row],[x0]],INDEX(Flexion!D$11:Z$11,$B126))</f>
        <v>1740</v>
      </c>
      <c r="E126" s="83" t="str">
        <f>IF(B126=B125,"-",VALUE(INDEX(Flexion!D$10:Z$10,Tableau6[[#This Row],[Col.]])))</f>
        <v>-</v>
      </c>
      <c r="F126" s="83" t="str">
        <f>IF(E126="-","-",IF(INDEX(Flexion!D$12:Z$12,Tableau6[[#This Row],[Col.]])="","-",INDEX(Flexion!D$12:Z$12,Tableau6[[#This Row],[Col.]])))</f>
        <v>-</v>
      </c>
      <c r="G126" s="84">
        <f>IF(Tableau6[[#This Row],[Nœud]]&lt;&gt;"-",INDEX(Flexion!D$13:Z$13,Tableau6[[#This Row],[Col.]]),)</f>
        <v>0</v>
      </c>
      <c r="H126" s="83">
        <f>IF(Tableau6[[#This Row],[Appui]]&lt;&gt;"-",INDEX(Flexion!D$14:Z$14,Tableau6[[#This Row],[Col.]]),)</f>
        <v>0</v>
      </c>
      <c r="I126" s="92">
        <f>$I125+($D126-$D125)*(SUM($G$10:$G125,$H$10:$H125))</f>
        <v>-95000</v>
      </c>
      <c r="J126" s="84">
        <f>INDEX(Flexion!D$16:Z$16,Tableau6[[#This Row],[Col.]])*($D127-$D126)</f>
        <v>0</v>
      </c>
      <c r="K126" s="83">
        <f>IF(B126=B125,0,INDEX(Flexion!D$20:Z$20,Tableau6[[#This Row],[Col.]]))</f>
        <v>0</v>
      </c>
      <c r="L126" s="92">
        <f>$L125+($D126-$D125)*(SUM($J$10:$J125,$K$10:$K125)-$J125/2)</f>
        <v>392200</v>
      </c>
      <c r="M126" s="84">
        <f>Tableau6[[#This Row],[Fr nod.]]+Tableau6[[#This Row],[Fr lin.]]</f>
        <v>0</v>
      </c>
      <c r="N126" s="92">
        <f>Tableau6[[#This Row],[Mt nod.]]+Tableau6[[#This Row],[Mt lin.]]</f>
        <v>297200</v>
      </c>
      <c r="O126" s="82">
        <f t="shared" si="12"/>
        <v>283517125</v>
      </c>
      <c r="P126" s="82">
        <f t="shared" ca="1" si="8"/>
        <v>3.4990307351712618E-4</v>
      </c>
      <c r="Q126" s="82">
        <f t="shared" si="13"/>
        <v>56695917500</v>
      </c>
      <c r="R126" s="82">
        <f t="shared" ca="1" si="9"/>
        <v>-0.35822268118072964</v>
      </c>
      <c r="S126" s="102">
        <f ca="1">OFFSET($A126,,CHOOSE(Flexion!$A$26,COLUMN($M$9)-1,COLUMN($N$9)-1,COLUMN($P$9)-1,COLUMN($R$9)-1))</f>
        <v>297200</v>
      </c>
    </row>
    <row r="127" spans="1:19" x14ac:dyDescent="0.2">
      <c r="A127" s="83">
        <f t="shared" si="7"/>
        <v>117</v>
      </c>
      <c r="B127" s="83">
        <f>MATCH(Tableau6[[#This Row],[x0]],Flexion!D$11:Z$11,1)</f>
        <v>4</v>
      </c>
      <c r="C127" s="83">
        <f>Tableau6[[#This Row],[N° pas]]*$A$2</f>
        <v>1755</v>
      </c>
      <c r="D127" s="101">
        <f>IF($B127=$B126,Tableau6[[#This Row],[x0]],INDEX(Flexion!D$11:Z$11,$B127))</f>
        <v>1755</v>
      </c>
      <c r="E127" s="83" t="str">
        <f>IF(B127=B126,"-",VALUE(INDEX(Flexion!D$10:Z$10,Tableau6[[#This Row],[Col.]])))</f>
        <v>-</v>
      </c>
      <c r="F127" s="83" t="str">
        <f>IF(E127="-","-",IF(INDEX(Flexion!D$12:Z$12,Tableau6[[#This Row],[Col.]])="","-",INDEX(Flexion!D$12:Z$12,Tableau6[[#This Row],[Col.]])))</f>
        <v>-</v>
      </c>
      <c r="G127" s="84">
        <f>IF(Tableau6[[#This Row],[Nœud]]&lt;&gt;"-",INDEX(Flexion!D$13:Z$13,Tableau6[[#This Row],[Col.]]),)</f>
        <v>0</v>
      </c>
      <c r="H127" s="83">
        <f>IF(Tableau6[[#This Row],[Appui]]&lt;&gt;"-",INDEX(Flexion!D$14:Z$14,Tableau6[[#This Row],[Col.]]),)</f>
        <v>0</v>
      </c>
      <c r="I127" s="92">
        <f>$I126+($D127-$D126)*(SUM($G$10:$G126,$H$10:$H126))</f>
        <v>-93125</v>
      </c>
      <c r="J127" s="84">
        <f>INDEX(Flexion!D$16:Z$16,Tableau6[[#This Row],[Col.]])*($D128-$D127)</f>
        <v>0</v>
      </c>
      <c r="K127" s="83">
        <f>IF(B127=B126,0,INDEX(Flexion!D$20:Z$20,Tableau6[[#This Row],[Col.]]))</f>
        <v>0</v>
      </c>
      <c r="L127" s="92">
        <f>$L126+($D127-$D126)*(SUM($J$10:$J126,$K$10:$K126)-$J126/2)</f>
        <v>379525</v>
      </c>
      <c r="M127" s="84">
        <f>Tableau6[[#This Row],[Fr nod.]]+Tableau6[[#This Row],[Fr lin.]]</f>
        <v>0</v>
      </c>
      <c r="N127" s="92">
        <f>Tableau6[[#This Row],[Mt nod.]]+Tableau6[[#This Row],[Mt lin.]]</f>
        <v>286400</v>
      </c>
      <c r="O127" s="82">
        <f t="shared" si="12"/>
        <v>287894125</v>
      </c>
      <c r="P127" s="82">
        <f t="shared" ca="1" si="8"/>
        <v>3.6209187886382621E-4</v>
      </c>
      <c r="Q127" s="82">
        <f t="shared" si="13"/>
        <v>60981501875</v>
      </c>
      <c r="R127" s="82">
        <f t="shared" ca="1" si="9"/>
        <v>-0.35288271903787238</v>
      </c>
      <c r="S127" s="102">
        <f ca="1">OFFSET($A127,,CHOOSE(Flexion!$A$26,COLUMN($M$9)-1,COLUMN($N$9)-1,COLUMN($P$9)-1,COLUMN($R$9)-1))</f>
        <v>286400</v>
      </c>
    </row>
    <row r="128" spans="1:19" x14ac:dyDescent="0.2">
      <c r="A128" s="83">
        <f t="shared" si="7"/>
        <v>118</v>
      </c>
      <c r="B128" s="83">
        <f>MATCH(Tableau6[[#This Row],[x0]],Flexion!D$11:Z$11,1)</f>
        <v>4</v>
      </c>
      <c r="C128" s="83">
        <f>Tableau6[[#This Row],[N° pas]]*$A$2</f>
        <v>1770</v>
      </c>
      <c r="D128" s="101">
        <f>IF($B128=$B127,Tableau6[[#This Row],[x0]],INDEX(Flexion!D$11:Z$11,$B128))</f>
        <v>1770</v>
      </c>
      <c r="E128" s="83" t="str">
        <f>IF(B128=B127,"-",VALUE(INDEX(Flexion!D$10:Z$10,Tableau6[[#This Row],[Col.]])))</f>
        <v>-</v>
      </c>
      <c r="F128" s="83" t="str">
        <f>IF(E128="-","-",IF(INDEX(Flexion!D$12:Z$12,Tableau6[[#This Row],[Col.]])="","-",INDEX(Flexion!D$12:Z$12,Tableau6[[#This Row],[Col.]])))</f>
        <v>-</v>
      </c>
      <c r="G128" s="84">
        <f>IF(Tableau6[[#This Row],[Nœud]]&lt;&gt;"-",INDEX(Flexion!D$13:Z$13,Tableau6[[#This Row],[Col.]]),)</f>
        <v>0</v>
      </c>
      <c r="H128" s="83">
        <f>IF(Tableau6[[#This Row],[Appui]]&lt;&gt;"-",INDEX(Flexion!D$14:Z$14,Tableau6[[#This Row],[Col.]]),)</f>
        <v>0</v>
      </c>
      <c r="I128" s="92">
        <f>$I127+($D128-$D127)*(SUM($G$10:$G127,$H$10:$H127))</f>
        <v>-91250</v>
      </c>
      <c r="J128" s="84">
        <f>INDEX(Flexion!D$16:Z$16,Tableau6[[#This Row],[Col.]])*($D129-$D128)</f>
        <v>0</v>
      </c>
      <c r="K128" s="83">
        <f>IF(B128=B127,0,INDEX(Flexion!D$20:Z$20,Tableau6[[#This Row],[Col.]]))</f>
        <v>0</v>
      </c>
      <c r="L128" s="92">
        <f>$L127+($D128-$D127)*(SUM($J$10:$J127,$K$10:$K127)-$J127/2)</f>
        <v>366850</v>
      </c>
      <c r="M128" s="84">
        <f>Tableau6[[#This Row],[Fr nod.]]+Tableau6[[#This Row],[Fr lin.]]</f>
        <v>0</v>
      </c>
      <c r="N128" s="92">
        <f>Tableau6[[#This Row],[Mt nod.]]+Tableau6[[#This Row],[Mt lin.]]</f>
        <v>275600</v>
      </c>
      <c r="O128" s="82">
        <f t="shared" si="12"/>
        <v>292109125</v>
      </c>
      <c r="P128" s="82">
        <f t="shared" ca="1" si="8"/>
        <v>3.7382955639097751E-4</v>
      </c>
      <c r="Q128" s="82">
        <f t="shared" si="13"/>
        <v>65331526250</v>
      </c>
      <c r="R128" s="82">
        <f t="shared" ca="1" si="9"/>
        <v>-0.34736330827346151</v>
      </c>
      <c r="S128" s="102">
        <f ca="1">OFFSET($A128,,CHOOSE(Flexion!$A$26,COLUMN($M$9)-1,COLUMN($N$9)-1,COLUMN($P$9)-1,COLUMN($R$9)-1))</f>
        <v>275600</v>
      </c>
    </row>
    <row r="129" spans="1:19" x14ac:dyDescent="0.2">
      <c r="A129" s="83">
        <f t="shared" si="7"/>
        <v>119</v>
      </c>
      <c r="B129" s="83">
        <f>MATCH(Tableau6[[#This Row],[x0]],Flexion!D$11:Z$11,1)</f>
        <v>4</v>
      </c>
      <c r="C129" s="83">
        <f>Tableau6[[#This Row],[N° pas]]*$A$2</f>
        <v>1785</v>
      </c>
      <c r="D129" s="101">
        <f>IF($B129=$B128,Tableau6[[#This Row],[x0]],INDEX(Flexion!D$11:Z$11,$B129))</f>
        <v>1785</v>
      </c>
      <c r="E129" s="83" t="str">
        <f>IF(B129=B128,"-",VALUE(INDEX(Flexion!D$10:Z$10,Tableau6[[#This Row],[Col.]])))</f>
        <v>-</v>
      </c>
      <c r="F129" s="83" t="str">
        <f>IF(E129="-","-",IF(INDEX(Flexion!D$12:Z$12,Tableau6[[#This Row],[Col.]])="","-",INDEX(Flexion!D$12:Z$12,Tableau6[[#This Row],[Col.]])))</f>
        <v>-</v>
      </c>
      <c r="G129" s="84">
        <f>IF(Tableau6[[#This Row],[Nœud]]&lt;&gt;"-",INDEX(Flexion!D$13:Z$13,Tableau6[[#This Row],[Col.]]),)</f>
        <v>0</v>
      </c>
      <c r="H129" s="83">
        <f>IF(Tableau6[[#This Row],[Appui]]&lt;&gt;"-",INDEX(Flexion!D$14:Z$14,Tableau6[[#This Row],[Col.]]),)</f>
        <v>0</v>
      </c>
      <c r="I129" s="92">
        <f>$I128+($D129-$D128)*(SUM($G$10:$G128,$H$10:$H128))</f>
        <v>-89375</v>
      </c>
      <c r="J129" s="84">
        <f>INDEX(Flexion!D$16:Z$16,Tableau6[[#This Row],[Col.]])*($D130-$D129)</f>
        <v>0</v>
      </c>
      <c r="K129" s="83">
        <f>IF(B129=B128,0,INDEX(Flexion!D$20:Z$20,Tableau6[[#This Row],[Col.]]))</f>
        <v>0</v>
      </c>
      <c r="L129" s="92">
        <f>$L128+($D129-$D128)*(SUM($J$10:$J128,$K$10:$K128)-$J128/2)</f>
        <v>354175</v>
      </c>
      <c r="M129" s="84">
        <f>Tableau6[[#This Row],[Fr nod.]]+Tableau6[[#This Row],[Fr lin.]]</f>
        <v>0</v>
      </c>
      <c r="N129" s="92">
        <f>Tableau6[[#This Row],[Mt nod.]]+Tableau6[[#This Row],[Mt lin.]]</f>
        <v>264800</v>
      </c>
      <c r="O129" s="82">
        <f t="shared" si="12"/>
        <v>296162125</v>
      </c>
      <c r="P129" s="82">
        <f t="shared" ca="1" si="8"/>
        <v>3.8511610609857975E-4</v>
      </c>
      <c r="Q129" s="82">
        <f t="shared" si="13"/>
        <v>69743560625</v>
      </c>
      <c r="R129" s="82">
        <f t="shared" ca="1" si="9"/>
        <v>-0.34167121580478976</v>
      </c>
      <c r="S129" s="102">
        <f ca="1">OFFSET($A129,,CHOOSE(Flexion!$A$26,COLUMN($M$9)-1,COLUMN($N$9)-1,COLUMN($P$9)-1,COLUMN($R$9)-1))</f>
        <v>264800</v>
      </c>
    </row>
    <row r="130" spans="1:19" x14ac:dyDescent="0.2">
      <c r="A130" s="83">
        <f t="shared" si="7"/>
        <v>120</v>
      </c>
      <c r="B130" s="83">
        <f>MATCH(Tableau6[[#This Row],[x0]],Flexion!D$11:Z$11,1)</f>
        <v>4</v>
      </c>
      <c r="C130" s="83">
        <f>Tableau6[[#This Row],[N° pas]]*$A$2</f>
        <v>1800</v>
      </c>
      <c r="D130" s="101">
        <f>IF($B130=$B129,Tableau6[[#This Row],[x0]],INDEX(Flexion!D$11:Z$11,$B130))</f>
        <v>1800</v>
      </c>
      <c r="E130" s="83" t="str">
        <f>IF(B130=B129,"-",VALUE(INDEX(Flexion!D$10:Z$10,Tableau6[[#This Row],[Col.]])))</f>
        <v>-</v>
      </c>
      <c r="F130" s="83" t="str">
        <f>IF(E130="-","-",IF(INDEX(Flexion!D$12:Z$12,Tableau6[[#This Row],[Col.]])="","-",INDEX(Flexion!D$12:Z$12,Tableau6[[#This Row],[Col.]])))</f>
        <v>-</v>
      </c>
      <c r="G130" s="84">
        <f>IF(Tableau6[[#This Row],[Nœud]]&lt;&gt;"-",INDEX(Flexion!D$13:Z$13,Tableau6[[#This Row],[Col.]]),)</f>
        <v>0</v>
      </c>
      <c r="H130" s="83">
        <f>IF(Tableau6[[#This Row],[Appui]]&lt;&gt;"-",INDEX(Flexion!D$14:Z$14,Tableau6[[#This Row],[Col.]]),)</f>
        <v>0</v>
      </c>
      <c r="I130" s="92">
        <f>$I129+($D130-$D129)*(SUM($G$10:$G129,$H$10:$H129))</f>
        <v>-87500</v>
      </c>
      <c r="J130" s="84">
        <f>INDEX(Flexion!D$16:Z$16,Tableau6[[#This Row],[Col.]])*($D131-$D130)</f>
        <v>0</v>
      </c>
      <c r="K130" s="83">
        <f>IF(B130=B129,0,INDEX(Flexion!D$20:Z$20,Tableau6[[#This Row],[Col.]]))</f>
        <v>0</v>
      </c>
      <c r="L130" s="92">
        <f>$L129+($D130-$D129)*(SUM($J$10:$J129,$K$10:$K129)-$J129/2)</f>
        <v>341500</v>
      </c>
      <c r="M130" s="84">
        <f>Tableau6[[#This Row],[Fr nod.]]+Tableau6[[#This Row],[Fr lin.]]</f>
        <v>0</v>
      </c>
      <c r="N130" s="92">
        <f>Tableau6[[#This Row],[Mt nod.]]+Tableau6[[#This Row],[Mt lin.]]</f>
        <v>254000</v>
      </c>
      <c r="O130" s="82">
        <f t="shared" si="12"/>
        <v>300053125</v>
      </c>
      <c r="P130" s="82">
        <f t="shared" ca="1" si="8"/>
        <v>3.9595152798663327E-4</v>
      </c>
      <c r="Q130" s="82">
        <f t="shared" si="13"/>
        <v>74215175000</v>
      </c>
      <c r="R130" s="82">
        <f t="shared" ca="1" si="9"/>
        <v>-0.33581320854915064</v>
      </c>
      <c r="S130" s="102">
        <f ca="1">OFFSET($A130,,CHOOSE(Flexion!$A$26,COLUMN($M$9)-1,COLUMN($N$9)-1,COLUMN($P$9)-1,COLUMN($R$9)-1))</f>
        <v>254000</v>
      </c>
    </row>
    <row r="131" spans="1:19" x14ac:dyDescent="0.2">
      <c r="A131" s="83">
        <f t="shared" si="7"/>
        <v>121</v>
      </c>
      <c r="B131" s="83">
        <f>MATCH(Tableau6[[#This Row],[x0]],Flexion!D$11:Z$11,1)</f>
        <v>4</v>
      </c>
      <c r="C131" s="83">
        <f>Tableau6[[#This Row],[N° pas]]*$A$2</f>
        <v>1815</v>
      </c>
      <c r="D131" s="101">
        <f>IF($B131=$B130,Tableau6[[#This Row],[x0]],INDEX(Flexion!D$11:Z$11,$B131))</f>
        <v>1815</v>
      </c>
      <c r="E131" s="83" t="str">
        <f>IF(B131=B130,"-",VALUE(INDEX(Flexion!D$10:Z$10,Tableau6[[#This Row],[Col.]])))</f>
        <v>-</v>
      </c>
      <c r="F131" s="83" t="str">
        <f>IF(E131="-","-",IF(INDEX(Flexion!D$12:Z$12,Tableau6[[#This Row],[Col.]])="","-",INDEX(Flexion!D$12:Z$12,Tableau6[[#This Row],[Col.]])))</f>
        <v>-</v>
      </c>
      <c r="G131" s="84">
        <f>IF(Tableau6[[#This Row],[Nœud]]&lt;&gt;"-",INDEX(Flexion!D$13:Z$13,Tableau6[[#This Row],[Col.]]),)</f>
        <v>0</v>
      </c>
      <c r="H131" s="83">
        <f>IF(Tableau6[[#This Row],[Appui]]&lt;&gt;"-",INDEX(Flexion!D$14:Z$14,Tableau6[[#This Row],[Col.]]),)</f>
        <v>0</v>
      </c>
      <c r="I131" s="92">
        <f>$I130+($D131-$D130)*(SUM($G$10:$G130,$H$10:$H130))</f>
        <v>-85625</v>
      </c>
      <c r="J131" s="84">
        <f>INDEX(Flexion!D$16:Z$16,Tableau6[[#This Row],[Col.]])*($D132-$D131)</f>
        <v>0</v>
      </c>
      <c r="K131" s="83">
        <f>IF(B131=B130,0,INDEX(Flexion!D$20:Z$20,Tableau6[[#This Row],[Col.]]))</f>
        <v>0</v>
      </c>
      <c r="L131" s="92">
        <f>$L130+($D131-$D130)*(SUM($J$10:$J130,$K$10:$K130)-$J130/2)</f>
        <v>328825</v>
      </c>
      <c r="M131" s="84">
        <f>Tableau6[[#This Row],[Fr nod.]]+Tableau6[[#This Row],[Fr lin.]]</f>
        <v>0</v>
      </c>
      <c r="N131" s="92">
        <f>Tableau6[[#This Row],[Mt nod.]]+Tableau6[[#This Row],[Mt lin.]]</f>
        <v>243200</v>
      </c>
      <c r="O131" s="82">
        <f t="shared" si="12"/>
        <v>303782125</v>
      </c>
      <c r="P131" s="82">
        <f t="shared" ca="1" si="8"/>
        <v>4.0633582205513785E-4</v>
      </c>
      <c r="Q131" s="82">
        <f t="shared" si="13"/>
        <v>78743939375</v>
      </c>
      <c r="R131" s="82">
        <f t="shared" ca="1" si="9"/>
        <v>-0.32979605342383733</v>
      </c>
      <c r="S131" s="102">
        <f ca="1">OFFSET($A131,,CHOOSE(Flexion!$A$26,COLUMN($M$9)-1,COLUMN($N$9)-1,COLUMN($P$9)-1,COLUMN($R$9)-1))</f>
        <v>243200</v>
      </c>
    </row>
    <row r="132" spans="1:19" x14ac:dyDescent="0.2">
      <c r="A132" s="83">
        <f t="shared" si="7"/>
        <v>122</v>
      </c>
      <c r="B132" s="83">
        <f>MATCH(Tableau6[[#This Row],[x0]],Flexion!D$11:Z$11,1)</f>
        <v>4</v>
      </c>
      <c r="C132" s="83">
        <f>Tableau6[[#This Row],[N° pas]]*$A$2</f>
        <v>1830</v>
      </c>
      <c r="D132" s="101">
        <f>IF($B132=$B131,Tableau6[[#This Row],[x0]],INDEX(Flexion!D$11:Z$11,$B132))</f>
        <v>1830</v>
      </c>
      <c r="E132" s="83" t="str">
        <f>IF(B132=B131,"-",VALUE(INDEX(Flexion!D$10:Z$10,Tableau6[[#This Row],[Col.]])))</f>
        <v>-</v>
      </c>
      <c r="F132" s="83" t="str">
        <f>IF(E132="-","-",IF(INDEX(Flexion!D$12:Z$12,Tableau6[[#This Row],[Col.]])="","-",INDEX(Flexion!D$12:Z$12,Tableau6[[#This Row],[Col.]])))</f>
        <v>-</v>
      </c>
      <c r="G132" s="84">
        <f>IF(Tableau6[[#This Row],[Nœud]]&lt;&gt;"-",INDEX(Flexion!D$13:Z$13,Tableau6[[#This Row],[Col.]]),)</f>
        <v>0</v>
      </c>
      <c r="H132" s="83">
        <f>IF(Tableau6[[#This Row],[Appui]]&lt;&gt;"-",INDEX(Flexion!D$14:Z$14,Tableau6[[#This Row],[Col.]]),)</f>
        <v>0</v>
      </c>
      <c r="I132" s="92">
        <f>$I131+($D132-$D131)*(SUM($G$10:$G131,$H$10:$H131))</f>
        <v>-83750</v>
      </c>
      <c r="J132" s="84">
        <f>INDEX(Flexion!D$16:Z$16,Tableau6[[#This Row],[Col.]])*($D133-$D132)</f>
        <v>0</v>
      </c>
      <c r="K132" s="83">
        <f>IF(B132=B131,0,INDEX(Flexion!D$20:Z$20,Tableau6[[#This Row],[Col.]]))</f>
        <v>0</v>
      </c>
      <c r="L132" s="92">
        <f>$L131+($D132-$D131)*(SUM($J$10:$J131,$K$10:$K131)-$J131/2)</f>
        <v>316150</v>
      </c>
      <c r="M132" s="84">
        <f>Tableau6[[#This Row],[Fr nod.]]+Tableau6[[#This Row],[Fr lin.]]</f>
        <v>0</v>
      </c>
      <c r="N132" s="92">
        <f>Tableau6[[#This Row],[Mt nod.]]+Tableau6[[#This Row],[Mt lin.]]</f>
        <v>232400</v>
      </c>
      <c r="O132" s="82">
        <f t="shared" si="12"/>
        <v>307349125</v>
      </c>
      <c r="P132" s="82">
        <f t="shared" ca="1" si="8"/>
        <v>4.1626898830409359E-4</v>
      </c>
      <c r="Q132" s="82">
        <f t="shared" si="13"/>
        <v>83327423750</v>
      </c>
      <c r="R132" s="82">
        <f t="shared" ca="1" si="9"/>
        <v>-0.32362651734614312</v>
      </c>
      <c r="S132" s="102">
        <f ca="1">OFFSET($A132,,CHOOSE(Flexion!$A$26,COLUMN($M$9)-1,COLUMN($N$9)-1,COLUMN($P$9)-1,COLUMN($R$9)-1))</f>
        <v>232400</v>
      </c>
    </row>
    <row r="133" spans="1:19" x14ac:dyDescent="0.2">
      <c r="A133" s="83">
        <f t="shared" si="7"/>
        <v>123</v>
      </c>
      <c r="B133" s="83">
        <f>MATCH(Tableau6[[#This Row],[x0]],Flexion!D$11:Z$11,1)</f>
        <v>4</v>
      </c>
      <c r="C133" s="83">
        <f>Tableau6[[#This Row],[N° pas]]*$A$2</f>
        <v>1845</v>
      </c>
      <c r="D133" s="101">
        <f>IF($B133=$B132,Tableau6[[#This Row],[x0]],INDEX(Flexion!D$11:Z$11,$B133))</f>
        <v>1845</v>
      </c>
      <c r="E133" s="83" t="str">
        <f>IF(B133=B132,"-",VALUE(INDEX(Flexion!D$10:Z$10,Tableau6[[#This Row],[Col.]])))</f>
        <v>-</v>
      </c>
      <c r="F133" s="83" t="str">
        <f>IF(E133="-","-",IF(INDEX(Flexion!D$12:Z$12,Tableau6[[#This Row],[Col.]])="","-",INDEX(Flexion!D$12:Z$12,Tableau6[[#This Row],[Col.]])))</f>
        <v>-</v>
      </c>
      <c r="G133" s="84">
        <f>IF(Tableau6[[#This Row],[Nœud]]&lt;&gt;"-",INDEX(Flexion!D$13:Z$13,Tableau6[[#This Row],[Col.]]),)</f>
        <v>0</v>
      </c>
      <c r="H133" s="83">
        <f>IF(Tableau6[[#This Row],[Appui]]&lt;&gt;"-",INDEX(Flexion!D$14:Z$14,Tableau6[[#This Row],[Col.]]),)</f>
        <v>0</v>
      </c>
      <c r="I133" s="92">
        <f>$I132+($D133-$D132)*(SUM($G$10:$G132,$H$10:$H132))</f>
        <v>-81875</v>
      </c>
      <c r="J133" s="84">
        <f>INDEX(Flexion!D$16:Z$16,Tableau6[[#This Row],[Col.]])*($D134-$D133)</f>
        <v>0</v>
      </c>
      <c r="K133" s="83">
        <f>IF(B133=B132,0,INDEX(Flexion!D$20:Z$20,Tableau6[[#This Row],[Col.]]))</f>
        <v>0</v>
      </c>
      <c r="L133" s="92">
        <f>$L132+($D133-$D132)*(SUM($J$10:$J132,$K$10:$K132)-$J132/2)</f>
        <v>303475</v>
      </c>
      <c r="M133" s="84">
        <f>Tableau6[[#This Row],[Fr nod.]]+Tableau6[[#This Row],[Fr lin.]]</f>
        <v>0</v>
      </c>
      <c r="N133" s="92">
        <f>Tableau6[[#This Row],[Mt nod.]]+Tableau6[[#This Row],[Mt lin.]]</f>
        <v>221600</v>
      </c>
      <c r="O133" s="82">
        <f t="shared" si="12"/>
        <v>310754125</v>
      </c>
      <c r="P133" s="82">
        <f t="shared" ca="1" si="8"/>
        <v>4.2575102673350049E-4</v>
      </c>
      <c r="Q133" s="82">
        <f t="shared" si="13"/>
        <v>87963198125</v>
      </c>
      <c r="R133" s="82">
        <f t="shared" ca="1" si="9"/>
        <v>-0.31731136723336129</v>
      </c>
      <c r="S133" s="102">
        <f ca="1">OFFSET($A133,,CHOOSE(Flexion!$A$26,COLUMN($M$9)-1,COLUMN($N$9)-1,COLUMN($P$9)-1,COLUMN($R$9)-1))</f>
        <v>221600</v>
      </c>
    </row>
    <row r="134" spans="1:19" x14ac:dyDescent="0.2">
      <c r="A134" s="83">
        <f t="shared" si="7"/>
        <v>124</v>
      </c>
      <c r="B134" s="83">
        <f>MATCH(Tableau6[[#This Row],[x0]],Flexion!D$11:Z$11,1)</f>
        <v>4</v>
      </c>
      <c r="C134" s="83">
        <f>Tableau6[[#This Row],[N° pas]]*$A$2</f>
        <v>1860</v>
      </c>
      <c r="D134" s="101">
        <f>IF($B134=$B133,Tableau6[[#This Row],[x0]],INDEX(Flexion!D$11:Z$11,$B134))</f>
        <v>1860</v>
      </c>
      <c r="E134" s="83" t="str">
        <f>IF(B134=B133,"-",VALUE(INDEX(Flexion!D$10:Z$10,Tableau6[[#This Row],[Col.]])))</f>
        <v>-</v>
      </c>
      <c r="F134" s="83" t="str">
        <f>IF(E134="-","-",IF(INDEX(Flexion!D$12:Z$12,Tableau6[[#This Row],[Col.]])="","-",INDEX(Flexion!D$12:Z$12,Tableau6[[#This Row],[Col.]])))</f>
        <v>-</v>
      </c>
      <c r="G134" s="84">
        <f>IF(Tableau6[[#This Row],[Nœud]]&lt;&gt;"-",INDEX(Flexion!D$13:Z$13,Tableau6[[#This Row],[Col.]]),)</f>
        <v>0</v>
      </c>
      <c r="H134" s="83">
        <f>IF(Tableau6[[#This Row],[Appui]]&lt;&gt;"-",INDEX(Flexion!D$14:Z$14,Tableau6[[#This Row],[Col.]]),)</f>
        <v>0</v>
      </c>
      <c r="I134" s="92">
        <f>$I133+($D134-$D133)*(SUM($G$10:$G133,$H$10:$H133))</f>
        <v>-80000</v>
      </c>
      <c r="J134" s="84">
        <f>INDEX(Flexion!D$16:Z$16,Tableau6[[#This Row],[Col.]])*($D135-$D134)</f>
        <v>0</v>
      </c>
      <c r="K134" s="83">
        <f>IF(B134=B133,0,INDEX(Flexion!D$20:Z$20,Tableau6[[#This Row],[Col.]]))</f>
        <v>0</v>
      </c>
      <c r="L134" s="92">
        <f>$L133+($D134-$D133)*(SUM($J$10:$J133,$K$10:$K133)-$J133/2)</f>
        <v>290800</v>
      </c>
      <c r="M134" s="84">
        <f>Tableau6[[#This Row],[Fr nod.]]+Tableau6[[#This Row],[Fr lin.]]</f>
        <v>0</v>
      </c>
      <c r="N134" s="92">
        <f>Tableau6[[#This Row],[Mt nod.]]+Tableau6[[#This Row],[Mt lin.]]</f>
        <v>210800</v>
      </c>
      <c r="O134" s="82">
        <f t="shared" si="12"/>
        <v>313997125</v>
      </c>
      <c r="P134" s="82">
        <f t="shared" ca="1" si="8"/>
        <v>4.3478193734335845E-4</v>
      </c>
      <c r="Q134" s="82">
        <f t="shared" si="13"/>
        <v>92648832500</v>
      </c>
      <c r="R134" s="82">
        <f t="shared" ca="1" si="9"/>
        <v>-0.31085737000278479</v>
      </c>
      <c r="S134" s="102">
        <f ca="1">OFFSET($A134,,CHOOSE(Flexion!$A$26,COLUMN($M$9)-1,COLUMN($N$9)-1,COLUMN($P$9)-1,COLUMN($R$9)-1))</f>
        <v>210800</v>
      </c>
    </row>
    <row r="135" spans="1:19" x14ac:dyDescent="0.2">
      <c r="A135" s="83">
        <f t="shared" si="7"/>
        <v>125</v>
      </c>
      <c r="B135" s="83">
        <f>MATCH(Tableau6[[#This Row],[x0]],Flexion!D$11:Z$11,1)</f>
        <v>4</v>
      </c>
      <c r="C135" s="83">
        <f>Tableau6[[#This Row],[N° pas]]*$A$2</f>
        <v>1875</v>
      </c>
      <c r="D135" s="101">
        <f>IF($B135=$B134,Tableau6[[#This Row],[x0]],INDEX(Flexion!D$11:Z$11,$B135))</f>
        <v>1875</v>
      </c>
      <c r="E135" s="83" t="str">
        <f>IF(B135=B134,"-",VALUE(INDEX(Flexion!D$10:Z$10,Tableau6[[#This Row],[Col.]])))</f>
        <v>-</v>
      </c>
      <c r="F135" s="83" t="str">
        <f>IF(E135="-","-",IF(INDEX(Flexion!D$12:Z$12,Tableau6[[#This Row],[Col.]])="","-",INDEX(Flexion!D$12:Z$12,Tableau6[[#This Row],[Col.]])))</f>
        <v>-</v>
      </c>
      <c r="G135" s="84">
        <f>IF(Tableau6[[#This Row],[Nœud]]&lt;&gt;"-",INDEX(Flexion!D$13:Z$13,Tableau6[[#This Row],[Col.]]),)</f>
        <v>0</v>
      </c>
      <c r="H135" s="83">
        <f>IF(Tableau6[[#This Row],[Appui]]&lt;&gt;"-",INDEX(Flexion!D$14:Z$14,Tableau6[[#This Row],[Col.]]),)</f>
        <v>0</v>
      </c>
      <c r="I135" s="92">
        <f>$I134+($D135-$D134)*(SUM($G$10:$G134,$H$10:$H134))</f>
        <v>-78125</v>
      </c>
      <c r="J135" s="84">
        <f>INDEX(Flexion!D$16:Z$16,Tableau6[[#This Row],[Col.]])*($D136-$D135)</f>
        <v>0</v>
      </c>
      <c r="K135" s="83">
        <f>IF(B135=B134,0,INDEX(Flexion!D$20:Z$20,Tableau6[[#This Row],[Col.]]))</f>
        <v>0</v>
      </c>
      <c r="L135" s="92">
        <f>$L134+($D135-$D134)*(SUM($J$10:$J134,$K$10:$K134)-$J134/2)</f>
        <v>278125</v>
      </c>
      <c r="M135" s="84">
        <f>Tableau6[[#This Row],[Fr nod.]]+Tableau6[[#This Row],[Fr lin.]]</f>
        <v>0</v>
      </c>
      <c r="N135" s="92">
        <f>Tableau6[[#This Row],[Mt nod.]]+Tableau6[[#This Row],[Mt lin.]]</f>
        <v>200000</v>
      </c>
      <c r="O135" s="82">
        <f t="shared" si="12"/>
        <v>317078125</v>
      </c>
      <c r="P135" s="82">
        <f t="shared" ca="1" si="8"/>
        <v>4.4336172013366757E-4</v>
      </c>
      <c r="Q135" s="82">
        <f t="shared" si="13"/>
        <v>97381896875</v>
      </c>
      <c r="R135" s="82">
        <f t="shared" ca="1" si="9"/>
        <v>-0.30427129257170704</v>
      </c>
      <c r="S135" s="102">
        <f ca="1">OFFSET($A135,,CHOOSE(Flexion!$A$26,COLUMN($M$9)-1,COLUMN($N$9)-1,COLUMN($P$9)-1,COLUMN($R$9)-1))</f>
        <v>200000</v>
      </c>
    </row>
    <row r="136" spans="1:19" x14ac:dyDescent="0.2">
      <c r="A136" s="83">
        <f t="shared" si="7"/>
        <v>126</v>
      </c>
      <c r="B136" s="83">
        <f>MATCH(Tableau6[[#This Row],[x0]],Flexion!D$11:Z$11,1)</f>
        <v>4</v>
      </c>
      <c r="C136" s="83">
        <f>Tableau6[[#This Row],[N° pas]]*$A$2</f>
        <v>1890</v>
      </c>
      <c r="D136" s="101">
        <f>IF($B136=$B135,Tableau6[[#This Row],[x0]],INDEX(Flexion!D$11:Z$11,$B136))</f>
        <v>1890</v>
      </c>
      <c r="E136" s="83" t="str">
        <f>IF(B136=B135,"-",VALUE(INDEX(Flexion!D$10:Z$10,Tableau6[[#This Row],[Col.]])))</f>
        <v>-</v>
      </c>
      <c r="F136" s="83" t="str">
        <f>IF(E136="-","-",IF(INDEX(Flexion!D$12:Z$12,Tableau6[[#This Row],[Col.]])="","-",INDEX(Flexion!D$12:Z$12,Tableau6[[#This Row],[Col.]])))</f>
        <v>-</v>
      </c>
      <c r="G136" s="84">
        <f>IF(Tableau6[[#This Row],[Nœud]]&lt;&gt;"-",INDEX(Flexion!D$13:Z$13,Tableau6[[#This Row],[Col.]]),)</f>
        <v>0</v>
      </c>
      <c r="H136" s="83">
        <f>IF(Tableau6[[#This Row],[Appui]]&lt;&gt;"-",INDEX(Flexion!D$14:Z$14,Tableau6[[#This Row],[Col.]]),)</f>
        <v>0</v>
      </c>
      <c r="I136" s="92">
        <f>$I135+($D136-$D135)*(SUM($G$10:$G135,$H$10:$H135))</f>
        <v>-76250</v>
      </c>
      <c r="J136" s="84">
        <f>INDEX(Flexion!D$16:Z$16,Tableau6[[#This Row],[Col.]])*($D137-$D136)</f>
        <v>0</v>
      </c>
      <c r="K136" s="83">
        <f>IF(B136=B135,0,INDEX(Flexion!D$20:Z$20,Tableau6[[#This Row],[Col.]]))</f>
        <v>0</v>
      </c>
      <c r="L136" s="92">
        <f>$L135+($D136-$D135)*(SUM($J$10:$J135,$K$10:$K135)-$J135/2)</f>
        <v>265450</v>
      </c>
      <c r="M136" s="84">
        <f>Tableau6[[#This Row],[Fr nod.]]+Tableau6[[#This Row],[Fr lin.]]</f>
        <v>0</v>
      </c>
      <c r="N136" s="92">
        <f>Tableau6[[#This Row],[Mt nod.]]+Tableau6[[#This Row],[Mt lin.]]</f>
        <v>189200</v>
      </c>
      <c r="O136" s="82">
        <f t="shared" si="12"/>
        <v>319997125</v>
      </c>
      <c r="P136" s="82">
        <f t="shared" ca="1" si="8"/>
        <v>4.5149037510442775E-4</v>
      </c>
      <c r="Q136" s="82">
        <f t="shared" si="13"/>
        <v>102159961250</v>
      </c>
      <c r="R136" s="82">
        <f t="shared" ca="1" si="9"/>
        <v>-0.29755990185742132</v>
      </c>
      <c r="S136" s="102">
        <f ca="1">OFFSET($A136,,CHOOSE(Flexion!$A$26,COLUMN($M$9)-1,COLUMN($N$9)-1,COLUMN($P$9)-1,COLUMN($R$9)-1))</f>
        <v>189200</v>
      </c>
    </row>
    <row r="137" spans="1:19" x14ac:dyDescent="0.2">
      <c r="A137" s="83">
        <f t="shared" si="7"/>
        <v>127</v>
      </c>
      <c r="B137" s="83">
        <f>MATCH(Tableau6[[#This Row],[x0]],Flexion!D$11:Z$11,1)</f>
        <v>4</v>
      </c>
      <c r="C137" s="83">
        <f>Tableau6[[#This Row],[N° pas]]*$A$2</f>
        <v>1905</v>
      </c>
      <c r="D137" s="101">
        <f>IF($B137=$B136,Tableau6[[#This Row],[x0]],INDEX(Flexion!D$11:Z$11,$B137))</f>
        <v>1905</v>
      </c>
      <c r="E137" s="83" t="str">
        <f>IF(B137=B136,"-",VALUE(INDEX(Flexion!D$10:Z$10,Tableau6[[#This Row],[Col.]])))</f>
        <v>-</v>
      </c>
      <c r="F137" s="83" t="str">
        <f>IF(E137="-","-",IF(INDEX(Flexion!D$12:Z$12,Tableau6[[#This Row],[Col.]])="","-",INDEX(Flexion!D$12:Z$12,Tableau6[[#This Row],[Col.]])))</f>
        <v>-</v>
      </c>
      <c r="G137" s="84">
        <f>IF(Tableau6[[#This Row],[Nœud]]&lt;&gt;"-",INDEX(Flexion!D$13:Z$13,Tableau6[[#This Row],[Col.]]),)</f>
        <v>0</v>
      </c>
      <c r="H137" s="83">
        <f>IF(Tableau6[[#This Row],[Appui]]&lt;&gt;"-",INDEX(Flexion!D$14:Z$14,Tableau6[[#This Row],[Col.]]),)</f>
        <v>0</v>
      </c>
      <c r="I137" s="92">
        <f>$I136+($D137-$D136)*(SUM($G$10:$G136,$H$10:$H136))</f>
        <v>-74375</v>
      </c>
      <c r="J137" s="84">
        <f>INDEX(Flexion!D$16:Z$16,Tableau6[[#This Row],[Col.]])*($D138-$D137)</f>
        <v>0</v>
      </c>
      <c r="K137" s="83">
        <f>IF(B137=B136,0,INDEX(Flexion!D$20:Z$20,Tableau6[[#This Row],[Col.]]))</f>
        <v>0</v>
      </c>
      <c r="L137" s="92">
        <f>$L136+($D137-$D136)*(SUM($J$10:$J136,$K$10:$K136)-$J136/2)</f>
        <v>252775</v>
      </c>
      <c r="M137" s="84">
        <f>Tableau6[[#This Row],[Fr nod.]]+Tableau6[[#This Row],[Fr lin.]]</f>
        <v>0</v>
      </c>
      <c r="N137" s="92">
        <f>Tableau6[[#This Row],[Mt nod.]]+Tableau6[[#This Row],[Mt lin.]]</f>
        <v>178400</v>
      </c>
      <c r="O137" s="82">
        <f t="shared" si="12"/>
        <v>322754125</v>
      </c>
      <c r="P137" s="82">
        <f t="shared" ca="1" si="8"/>
        <v>4.5916790225563909E-4</v>
      </c>
      <c r="Q137" s="82">
        <f t="shared" si="13"/>
        <v>106980595625</v>
      </c>
      <c r="R137" s="82">
        <f t="shared" ca="1" si="9"/>
        <v>-0.2907299647772208</v>
      </c>
      <c r="S137" s="102">
        <f ca="1">OFFSET($A137,,CHOOSE(Flexion!$A$26,COLUMN($M$9)-1,COLUMN($N$9)-1,COLUMN($P$9)-1,COLUMN($R$9)-1))</f>
        <v>178400</v>
      </c>
    </row>
    <row r="138" spans="1:19" x14ac:dyDescent="0.2">
      <c r="A138" s="83">
        <f t="shared" ref="A138:A201" si="14">A137+1</f>
        <v>128</v>
      </c>
      <c r="B138" s="83">
        <f>MATCH(Tableau6[[#This Row],[x0]],Flexion!D$11:Z$11,1)</f>
        <v>4</v>
      </c>
      <c r="C138" s="83">
        <f>Tableau6[[#This Row],[N° pas]]*$A$2</f>
        <v>1920</v>
      </c>
      <c r="D138" s="101">
        <f>IF($B138=$B137,Tableau6[[#This Row],[x0]],INDEX(Flexion!D$11:Z$11,$B138))</f>
        <v>1920</v>
      </c>
      <c r="E138" s="83" t="str">
        <f>IF(B138=B137,"-",VALUE(INDEX(Flexion!D$10:Z$10,Tableau6[[#This Row],[Col.]])))</f>
        <v>-</v>
      </c>
      <c r="F138" s="83" t="str">
        <f>IF(E138="-","-",IF(INDEX(Flexion!D$12:Z$12,Tableau6[[#This Row],[Col.]])="","-",INDEX(Flexion!D$12:Z$12,Tableau6[[#This Row],[Col.]])))</f>
        <v>-</v>
      </c>
      <c r="G138" s="84">
        <f>IF(Tableau6[[#This Row],[Nœud]]&lt;&gt;"-",INDEX(Flexion!D$13:Z$13,Tableau6[[#This Row],[Col.]]),)</f>
        <v>0</v>
      </c>
      <c r="H138" s="83">
        <f>IF(Tableau6[[#This Row],[Appui]]&lt;&gt;"-",INDEX(Flexion!D$14:Z$14,Tableau6[[#This Row],[Col.]]),)</f>
        <v>0</v>
      </c>
      <c r="I138" s="92">
        <f>$I137+($D138-$D137)*(SUM($G$10:$G137,$H$10:$H137))</f>
        <v>-72500</v>
      </c>
      <c r="J138" s="84">
        <f>INDEX(Flexion!D$16:Z$16,Tableau6[[#This Row],[Col.]])*($D139-$D138)</f>
        <v>0</v>
      </c>
      <c r="K138" s="83">
        <f>IF(B138=B137,0,INDEX(Flexion!D$20:Z$20,Tableau6[[#This Row],[Col.]]))</f>
        <v>0</v>
      </c>
      <c r="L138" s="92">
        <f>$L137+($D138-$D137)*(SUM($J$10:$J137,$K$10:$K137)-$J137/2)</f>
        <v>240100</v>
      </c>
      <c r="M138" s="84">
        <f>Tableau6[[#This Row],[Fr nod.]]+Tableau6[[#This Row],[Fr lin.]]</f>
        <v>0</v>
      </c>
      <c r="N138" s="92">
        <f>Tableau6[[#This Row],[Mt nod.]]+Tableau6[[#This Row],[Mt lin.]]</f>
        <v>167600</v>
      </c>
      <c r="O138" s="82">
        <f t="shared" si="12"/>
        <v>325349125</v>
      </c>
      <c r="P138" s="82">
        <f t="shared" ref="P138:P201" ca="1" si="15">$L$2*O138+$L$3</f>
        <v>4.6639430158730159E-4</v>
      </c>
      <c r="Q138" s="82">
        <f t="shared" si="13"/>
        <v>111841370000</v>
      </c>
      <c r="R138" s="82">
        <f t="shared" ref="R138:R201" ca="1" si="16">$L$2*Q138+$L$3*D138+$L$4</f>
        <v>-0.28378824824839877</v>
      </c>
      <c r="S138" s="102">
        <f ca="1">OFFSET($A138,,CHOOSE(Flexion!$A$26,COLUMN($M$9)-1,COLUMN($N$9)-1,COLUMN($P$9)-1,COLUMN($R$9)-1))</f>
        <v>167600</v>
      </c>
    </row>
    <row r="139" spans="1:19" x14ac:dyDescent="0.2">
      <c r="A139" s="83">
        <f t="shared" si="14"/>
        <v>129</v>
      </c>
      <c r="B139" s="83">
        <f>MATCH(Tableau6[[#This Row],[x0]],Flexion!D$11:Z$11,1)</f>
        <v>4</v>
      </c>
      <c r="C139" s="83">
        <f>Tableau6[[#This Row],[N° pas]]*$A$2</f>
        <v>1935</v>
      </c>
      <c r="D139" s="101">
        <f>IF($B139=$B138,Tableau6[[#This Row],[x0]],INDEX(Flexion!D$11:Z$11,$B139))</f>
        <v>1935</v>
      </c>
      <c r="E139" s="83" t="str">
        <f>IF(B139=B138,"-",VALUE(INDEX(Flexion!D$10:Z$10,Tableau6[[#This Row],[Col.]])))</f>
        <v>-</v>
      </c>
      <c r="F139" s="83" t="str">
        <f>IF(E139="-","-",IF(INDEX(Flexion!D$12:Z$12,Tableau6[[#This Row],[Col.]])="","-",INDEX(Flexion!D$12:Z$12,Tableau6[[#This Row],[Col.]])))</f>
        <v>-</v>
      </c>
      <c r="G139" s="84">
        <f>IF(Tableau6[[#This Row],[Nœud]]&lt;&gt;"-",INDEX(Flexion!D$13:Z$13,Tableau6[[#This Row],[Col.]]),)</f>
        <v>0</v>
      </c>
      <c r="H139" s="83">
        <f>IF(Tableau6[[#This Row],[Appui]]&lt;&gt;"-",INDEX(Flexion!D$14:Z$14,Tableau6[[#This Row],[Col.]]),)</f>
        <v>0</v>
      </c>
      <c r="I139" s="92">
        <f>$I138+($D139-$D138)*(SUM($G$10:$G138,$H$10:$H138))</f>
        <v>-70625</v>
      </c>
      <c r="J139" s="84">
        <f>INDEX(Flexion!D$16:Z$16,Tableau6[[#This Row],[Col.]])*($D140-$D139)</f>
        <v>0</v>
      </c>
      <c r="K139" s="83">
        <f>IF(B139=B138,0,INDEX(Flexion!D$20:Z$20,Tableau6[[#This Row],[Col.]]))</f>
        <v>0</v>
      </c>
      <c r="L139" s="92">
        <f>$L138+($D139-$D138)*(SUM($J$10:$J138,$K$10:$K138)-$J138/2)</f>
        <v>227425</v>
      </c>
      <c r="M139" s="84">
        <f>Tableau6[[#This Row],[Fr nod.]]+Tableau6[[#This Row],[Fr lin.]]</f>
        <v>0</v>
      </c>
      <c r="N139" s="92">
        <f>Tableau6[[#This Row],[Mt nod.]]+Tableau6[[#This Row],[Mt lin.]]</f>
        <v>156800</v>
      </c>
      <c r="O139" s="82">
        <f t="shared" ref="O139:O170" si="17">(D139-D138)*(N139+N138)/2+O138</f>
        <v>327782125</v>
      </c>
      <c r="P139" s="82">
        <f t="shared" ca="1" si="15"/>
        <v>4.7316957309941526E-4</v>
      </c>
      <c r="Q139" s="82">
        <f t="shared" ref="Q139:Q170" si="18">Q138+((D139-D138)*(O139+O138)/2)</f>
        <v>116739854375</v>
      </c>
      <c r="R139" s="82">
        <f t="shared" ca="1" si="16"/>
        <v>-0.27674151918824841</v>
      </c>
      <c r="S139" s="102">
        <f ca="1">OFFSET($A139,,CHOOSE(Flexion!$A$26,COLUMN($M$9)-1,COLUMN($N$9)-1,COLUMN($P$9)-1,COLUMN($R$9)-1))</f>
        <v>156800</v>
      </c>
    </row>
    <row r="140" spans="1:19" x14ac:dyDescent="0.2">
      <c r="A140" s="83">
        <f t="shared" si="14"/>
        <v>130</v>
      </c>
      <c r="B140" s="83">
        <f>MATCH(Tableau6[[#This Row],[x0]],Flexion!D$11:Z$11,1)</f>
        <v>4</v>
      </c>
      <c r="C140" s="83">
        <f>Tableau6[[#This Row],[N° pas]]*$A$2</f>
        <v>1950</v>
      </c>
      <c r="D140" s="101">
        <f>IF($B140=$B139,Tableau6[[#This Row],[x0]],INDEX(Flexion!D$11:Z$11,$B140))</f>
        <v>1950</v>
      </c>
      <c r="E140" s="83" t="str">
        <f>IF(B140=B139,"-",VALUE(INDEX(Flexion!D$10:Z$10,Tableau6[[#This Row],[Col.]])))</f>
        <v>-</v>
      </c>
      <c r="F140" s="83" t="str">
        <f>IF(E140="-","-",IF(INDEX(Flexion!D$12:Z$12,Tableau6[[#This Row],[Col.]])="","-",INDEX(Flexion!D$12:Z$12,Tableau6[[#This Row],[Col.]])))</f>
        <v>-</v>
      </c>
      <c r="G140" s="84">
        <f>IF(Tableau6[[#This Row],[Nœud]]&lt;&gt;"-",INDEX(Flexion!D$13:Z$13,Tableau6[[#This Row],[Col.]]),)</f>
        <v>0</v>
      </c>
      <c r="H140" s="83">
        <f>IF(Tableau6[[#This Row],[Appui]]&lt;&gt;"-",INDEX(Flexion!D$14:Z$14,Tableau6[[#This Row],[Col.]]),)</f>
        <v>0</v>
      </c>
      <c r="I140" s="92">
        <f>$I139+($D140-$D139)*(SUM($G$10:$G139,$H$10:$H139))</f>
        <v>-68750</v>
      </c>
      <c r="J140" s="84">
        <f>INDEX(Flexion!D$16:Z$16,Tableau6[[#This Row],[Col.]])*($D141-$D140)</f>
        <v>0</v>
      </c>
      <c r="K140" s="83">
        <f>IF(B140=B139,0,INDEX(Flexion!D$20:Z$20,Tableau6[[#This Row],[Col.]]))</f>
        <v>0</v>
      </c>
      <c r="L140" s="92">
        <f>$L139+($D140-$D139)*(SUM($J$10:$J139,$K$10:$K139)-$J139/2)</f>
        <v>214750</v>
      </c>
      <c r="M140" s="84">
        <f>Tableau6[[#This Row],[Fr nod.]]+Tableau6[[#This Row],[Fr lin.]]</f>
        <v>0</v>
      </c>
      <c r="N140" s="92">
        <f>Tableau6[[#This Row],[Mt nod.]]+Tableau6[[#This Row],[Mt lin.]]</f>
        <v>146000</v>
      </c>
      <c r="O140" s="82">
        <f t="shared" si="17"/>
        <v>330053125</v>
      </c>
      <c r="P140" s="82">
        <f t="shared" ca="1" si="15"/>
        <v>4.7949371679197999E-4</v>
      </c>
      <c r="Q140" s="82">
        <f t="shared" si="18"/>
        <v>121673618750</v>
      </c>
      <c r="R140" s="82">
        <f t="shared" ca="1" si="16"/>
        <v>-0.26959654451406301</v>
      </c>
      <c r="S140" s="102">
        <f ca="1">OFFSET($A140,,CHOOSE(Flexion!$A$26,COLUMN($M$9)-1,COLUMN($N$9)-1,COLUMN($P$9)-1,COLUMN($R$9)-1))</f>
        <v>146000</v>
      </c>
    </row>
    <row r="141" spans="1:19" x14ac:dyDescent="0.2">
      <c r="A141" s="83">
        <f t="shared" si="14"/>
        <v>131</v>
      </c>
      <c r="B141" s="83">
        <f>MATCH(Tableau6[[#This Row],[x0]],Flexion!D$11:Z$11,1)</f>
        <v>4</v>
      </c>
      <c r="C141" s="83">
        <f>Tableau6[[#This Row],[N° pas]]*$A$2</f>
        <v>1965</v>
      </c>
      <c r="D141" s="101">
        <f>IF($B141=$B140,Tableau6[[#This Row],[x0]],INDEX(Flexion!D$11:Z$11,$B141))</f>
        <v>1965</v>
      </c>
      <c r="E141" s="83" t="str">
        <f>IF(B141=B140,"-",VALUE(INDEX(Flexion!D$10:Z$10,Tableau6[[#This Row],[Col.]])))</f>
        <v>-</v>
      </c>
      <c r="F141" s="83" t="str">
        <f>IF(E141="-","-",IF(INDEX(Flexion!D$12:Z$12,Tableau6[[#This Row],[Col.]])="","-",INDEX(Flexion!D$12:Z$12,Tableau6[[#This Row],[Col.]])))</f>
        <v>-</v>
      </c>
      <c r="G141" s="84">
        <f>IF(Tableau6[[#This Row],[Nœud]]&lt;&gt;"-",INDEX(Flexion!D$13:Z$13,Tableau6[[#This Row],[Col.]]),)</f>
        <v>0</v>
      </c>
      <c r="H141" s="83">
        <f>IF(Tableau6[[#This Row],[Appui]]&lt;&gt;"-",INDEX(Flexion!D$14:Z$14,Tableau6[[#This Row],[Col.]]),)</f>
        <v>0</v>
      </c>
      <c r="I141" s="92">
        <f>$I140+($D141-$D140)*(SUM($G$10:$G140,$H$10:$H140))</f>
        <v>-66875</v>
      </c>
      <c r="J141" s="84">
        <f>INDEX(Flexion!D$16:Z$16,Tableau6[[#This Row],[Col.]])*($D142-$D141)</f>
        <v>0</v>
      </c>
      <c r="K141" s="83">
        <f>IF(B141=B140,0,INDEX(Flexion!D$20:Z$20,Tableau6[[#This Row],[Col.]]))</f>
        <v>0</v>
      </c>
      <c r="L141" s="92">
        <f>$L140+($D141-$D140)*(SUM($J$10:$J140,$K$10:$K140)-$J140/2)</f>
        <v>202075</v>
      </c>
      <c r="M141" s="84">
        <f>Tableau6[[#This Row],[Fr nod.]]+Tableau6[[#This Row],[Fr lin.]]</f>
        <v>0</v>
      </c>
      <c r="N141" s="92">
        <f>Tableau6[[#This Row],[Mt nod.]]+Tableau6[[#This Row],[Mt lin.]]</f>
        <v>135200</v>
      </c>
      <c r="O141" s="82">
        <f t="shared" si="17"/>
        <v>332162125</v>
      </c>
      <c r="P141" s="82">
        <f t="shared" ca="1" si="15"/>
        <v>4.8536673266499588E-4</v>
      </c>
      <c r="Q141" s="82">
        <f t="shared" si="18"/>
        <v>126640233125</v>
      </c>
      <c r="R141" s="82">
        <f t="shared" ca="1" si="16"/>
        <v>-0.26236009114313563</v>
      </c>
      <c r="S141" s="102">
        <f ca="1">OFFSET($A141,,CHOOSE(Flexion!$A$26,COLUMN($M$9)-1,COLUMN($N$9)-1,COLUMN($P$9)-1,COLUMN($R$9)-1))</f>
        <v>135200</v>
      </c>
    </row>
    <row r="142" spans="1:19" x14ac:dyDescent="0.2">
      <c r="A142" s="83">
        <f t="shared" si="14"/>
        <v>132</v>
      </c>
      <c r="B142" s="83">
        <f>MATCH(Tableau6[[#This Row],[x0]],Flexion!D$11:Z$11,1)</f>
        <v>4</v>
      </c>
      <c r="C142" s="83">
        <f>Tableau6[[#This Row],[N° pas]]*$A$2</f>
        <v>1980</v>
      </c>
      <c r="D142" s="101">
        <f>IF($B142=$B141,Tableau6[[#This Row],[x0]],INDEX(Flexion!D$11:Z$11,$B142))</f>
        <v>1980</v>
      </c>
      <c r="E142" s="83" t="str">
        <f>IF(B142=B141,"-",VALUE(INDEX(Flexion!D$10:Z$10,Tableau6[[#This Row],[Col.]])))</f>
        <v>-</v>
      </c>
      <c r="F142" s="83" t="str">
        <f>IF(E142="-","-",IF(INDEX(Flexion!D$12:Z$12,Tableau6[[#This Row],[Col.]])="","-",INDEX(Flexion!D$12:Z$12,Tableau6[[#This Row],[Col.]])))</f>
        <v>-</v>
      </c>
      <c r="G142" s="84">
        <f>IF(Tableau6[[#This Row],[Nœud]]&lt;&gt;"-",INDEX(Flexion!D$13:Z$13,Tableau6[[#This Row],[Col.]]),)</f>
        <v>0</v>
      </c>
      <c r="H142" s="83">
        <f>IF(Tableau6[[#This Row],[Appui]]&lt;&gt;"-",INDEX(Flexion!D$14:Z$14,Tableau6[[#This Row],[Col.]]),)</f>
        <v>0</v>
      </c>
      <c r="I142" s="92">
        <f>$I141+($D142-$D141)*(SUM($G$10:$G141,$H$10:$H141))</f>
        <v>-65000</v>
      </c>
      <c r="J142" s="84">
        <f>INDEX(Flexion!D$16:Z$16,Tableau6[[#This Row],[Col.]])*($D143-$D142)</f>
        <v>0</v>
      </c>
      <c r="K142" s="83">
        <f>IF(B142=B141,0,INDEX(Flexion!D$20:Z$20,Tableau6[[#This Row],[Col.]]))</f>
        <v>0</v>
      </c>
      <c r="L142" s="92">
        <f>$L141+($D142-$D141)*(SUM($J$10:$J141,$K$10:$K141)-$J141/2)</f>
        <v>189400</v>
      </c>
      <c r="M142" s="84">
        <f>Tableau6[[#This Row],[Fr nod.]]+Tableau6[[#This Row],[Fr lin.]]</f>
        <v>0</v>
      </c>
      <c r="N142" s="92">
        <f>Tableau6[[#This Row],[Mt nod.]]+Tableau6[[#This Row],[Mt lin.]]</f>
        <v>124400</v>
      </c>
      <c r="O142" s="82">
        <f t="shared" si="17"/>
        <v>334109125</v>
      </c>
      <c r="P142" s="82">
        <f t="shared" ca="1" si="15"/>
        <v>4.9078862071846277E-4</v>
      </c>
      <c r="Q142" s="82">
        <f t="shared" si="18"/>
        <v>131637267500</v>
      </c>
      <c r="R142" s="82">
        <f t="shared" ca="1" si="16"/>
        <v>-0.25503892599275968</v>
      </c>
      <c r="S142" s="102">
        <f ca="1">OFFSET($A142,,CHOOSE(Flexion!$A$26,COLUMN($M$9)-1,COLUMN($N$9)-1,COLUMN($P$9)-1,COLUMN($R$9)-1))</f>
        <v>124400</v>
      </c>
    </row>
    <row r="143" spans="1:19" x14ac:dyDescent="0.2">
      <c r="A143" s="83">
        <f t="shared" si="14"/>
        <v>133</v>
      </c>
      <c r="B143" s="83">
        <f>MATCH(Tableau6[[#This Row],[x0]],Flexion!D$11:Z$11,1)</f>
        <v>4</v>
      </c>
      <c r="C143" s="83">
        <f>Tableau6[[#This Row],[N° pas]]*$A$2</f>
        <v>1995</v>
      </c>
      <c r="D143" s="101">
        <f>IF($B143=$B142,Tableau6[[#This Row],[x0]],INDEX(Flexion!D$11:Z$11,$B143))</f>
        <v>1995</v>
      </c>
      <c r="E143" s="83" t="str">
        <f>IF(B143=B142,"-",VALUE(INDEX(Flexion!D$10:Z$10,Tableau6[[#This Row],[Col.]])))</f>
        <v>-</v>
      </c>
      <c r="F143" s="83" t="str">
        <f>IF(E143="-","-",IF(INDEX(Flexion!D$12:Z$12,Tableau6[[#This Row],[Col.]])="","-",INDEX(Flexion!D$12:Z$12,Tableau6[[#This Row],[Col.]])))</f>
        <v>-</v>
      </c>
      <c r="G143" s="84">
        <f>IF(Tableau6[[#This Row],[Nœud]]&lt;&gt;"-",INDEX(Flexion!D$13:Z$13,Tableau6[[#This Row],[Col.]]),)</f>
        <v>0</v>
      </c>
      <c r="H143" s="83">
        <f>IF(Tableau6[[#This Row],[Appui]]&lt;&gt;"-",INDEX(Flexion!D$14:Z$14,Tableau6[[#This Row],[Col.]]),)</f>
        <v>0</v>
      </c>
      <c r="I143" s="92">
        <f>$I142+($D143-$D142)*(SUM($G$10:$G142,$H$10:$H142))</f>
        <v>-63125</v>
      </c>
      <c r="J143" s="84">
        <f>INDEX(Flexion!D$16:Z$16,Tableau6[[#This Row],[Col.]])*($D144-$D143)</f>
        <v>0</v>
      </c>
      <c r="K143" s="83">
        <f>IF(B143=B142,0,INDEX(Flexion!D$20:Z$20,Tableau6[[#This Row],[Col.]]))</f>
        <v>0</v>
      </c>
      <c r="L143" s="92">
        <f>$L142+($D143-$D142)*(SUM($J$10:$J142,$K$10:$K142)-$J142/2)</f>
        <v>176725</v>
      </c>
      <c r="M143" s="84">
        <f>Tableau6[[#This Row],[Fr nod.]]+Tableau6[[#This Row],[Fr lin.]]</f>
        <v>0</v>
      </c>
      <c r="N143" s="92">
        <f>Tableau6[[#This Row],[Mt nod.]]+Tableau6[[#This Row],[Mt lin.]]</f>
        <v>113600</v>
      </c>
      <c r="O143" s="82">
        <f t="shared" si="17"/>
        <v>335894125</v>
      </c>
      <c r="P143" s="82">
        <f t="shared" ca="1" si="15"/>
        <v>4.9575938095238088E-4</v>
      </c>
      <c r="Q143" s="82">
        <f t="shared" si="18"/>
        <v>136662291875</v>
      </c>
      <c r="R143" s="82">
        <f t="shared" ca="1" si="16"/>
        <v>-0.24763981598022844</v>
      </c>
      <c r="S143" s="102">
        <f ca="1">OFFSET($A143,,CHOOSE(Flexion!$A$26,COLUMN($M$9)-1,COLUMN($N$9)-1,COLUMN($P$9)-1,COLUMN($R$9)-1))</f>
        <v>113600</v>
      </c>
    </row>
    <row r="144" spans="1:19" x14ac:dyDescent="0.2">
      <c r="A144" s="83">
        <f t="shared" si="14"/>
        <v>134</v>
      </c>
      <c r="B144" s="83">
        <f>MATCH(Tableau6[[#This Row],[x0]],Flexion!D$11:Z$11,1)</f>
        <v>4</v>
      </c>
      <c r="C144" s="83">
        <f>Tableau6[[#This Row],[N° pas]]*$A$2</f>
        <v>2010</v>
      </c>
      <c r="D144" s="101">
        <f>IF($B144=$B143,Tableau6[[#This Row],[x0]],INDEX(Flexion!D$11:Z$11,$B144))</f>
        <v>2010</v>
      </c>
      <c r="E144" s="83" t="str">
        <f>IF(B144=B143,"-",VALUE(INDEX(Flexion!D$10:Z$10,Tableau6[[#This Row],[Col.]])))</f>
        <v>-</v>
      </c>
      <c r="F144" s="83" t="str">
        <f>IF(E144="-","-",IF(INDEX(Flexion!D$12:Z$12,Tableau6[[#This Row],[Col.]])="","-",INDEX(Flexion!D$12:Z$12,Tableau6[[#This Row],[Col.]])))</f>
        <v>-</v>
      </c>
      <c r="G144" s="84">
        <f>IF(Tableau6[[#This Row],[Nœud]]&lt;&gt;"-",INDEX(Flexion!D$13:Z$13,Tableau6[[#This Row],[Col.]]),)</f>
        <v>0</v>
      </c>
      <c r="H144" s="83">
        <f>IF(Tableau6[[#This Row],[Appui]]&lt;&gt;"-",INDEX(Flexion!D$14:Z$14,Tableau6[[#This Row],[Col.]]),)</f>
        <v>0</v>
      </c>
      <c r="I144" s="92">
        <f>$I143+($D144-$D143)*(SUM($G$10:$G143,$H$10:$H143))</f>
        <v>-61250</v>
      </c>
      <c r="J144" s="84">
        <f>INDEX(Flexion!D$16:Z$16,Tableau6[[#This Row],[Col.]])*($D145-$D144)</f>
        <v>0</v>
      </c>
      <c r="K144" s="83">
        <f>IF(B144=B143,0,INDEX(Flexion!D$20:Z$20,Tableau6[[#This Row],[Col.]]))</f>
        <v>0</v>
      </c>
      <c r="L144" s="92">
        <f>$L143+($D144-$D143)*(SUM($J$10:$J143,$K$10:$K143)-$J143/2)</f>
        <v>164050</v>
      </c>
      <c r="M144" s="84">
        <f>Tableau6[[#This Row],[Fr nod.]]+Tableau6[[#This Row],[Fr lin.]]</f>
        <v>0</v>
      </c>
      <c r="N144" s="92">
        <f>Tableau6[[#This Row],[Mt nod.]]+Tableau6[[#This Row],[Mt lin.]]</f>
        <v>102800</v>
      </c>
      <c r="O144" s="82">
        <f t="shared" si="17"/>
        <v>337517125</v>
      </c>
      <c r="P144" s="82">
        <f t="shared" ca="1" si="15"/>
        <v>5.0027901336675016E-4</v>
      </c>
      <c r="Q144" s="82">
        <f t="shared" si="18"/>
        <v>141712876250</v>
      </c>
      <c r="R144" s="82">
        <f t="shared" ca="1" si="16"/>
        <v>-0.24016952802283492</v>
      </c>
      <c r="S144" s="102">
        <f ca="1">OFFSET($A144,,CHOOSE(Flexion!$A$26,COLUMN($M$9)-1,COLUMN($N$9)-1,COLUMN($P$9)-1,COLUMN($R$9)-1))</f>
        <v>102800</v>
      </c>
    </row>
    <row r="145" spans="1:19" x14ac:dyDescent="0.2">
      <c r="A145" s="83">
        <f t="shared" si="14"/>
        <v>135</v>
      </c>
      <c r="B145" s="83">
        <f>MATCH(Tableau6[[#This Row],[x0]],Flexion!D$11:Z$11,1)</f>
        <v>4</v>
      </c>
      <c r="C145" s="83">
        <f>Tableau6[[#This Row],[N° pas]]*$A$2</f>
        <v>2025</v>
      </c>
      <c r="D145" s="101">
        <f>IF($B145=$B144,Tableau6[[#This Row],[x0]],INDEX(Flexion!D$11:Z$11,$B145))</f>
        <v>2025</v>
      </c>
      <c r="E145" s="83" t="str">
        <f>IF(B145=B144,"-",VALUE(INDEX(Flexion!D$10:Z$10,Tableau6[[#This Row],[Col.]])))</f>
        <v>-</v>
      </c>
      <c r="F145" s="83" t="str">
        <f>IF(E145="-","-",IF(INDEX(Flexion!D$12:Z$12,Tableau6[[#This Row],[Col.]])="","-",INDEX(Flexion!D$12:Z$12,Tableau6[[#This Row],[Col.]])))</f>
        <v>-</v>
      </c>
      <c r="G145" s="84">
        <f>IF(Tableau6[[#This Row],[Nœud]]&lt;&gt;"-",INDEX(Flexion!D$13:Z$13,Tableau6[[#This Row],[Col.]]),)</f>
        <v>0</v>
      </c>
      <c r="H145" s="83">
        <f>IF(Tableau6[[#This Row],[Appui]]&lt;&gt;"-",INDEX(Flexion!D$14:Z$14,Tableau6[[#This Row],[Col.]]),)</f>
        <v>0</v>
      </c>
      <c r="I145" s="92">
        <f>$I144+($D145-$D144)*(SUM($G$10:$G144,$H$10:$H144))</f>
        <v>-59375</v>
      </c>
      <c r="J145" s="84">
        <f>INDEX(Flexion!D$16:Z$16,Tableau6[[#This Row],[Col.]])*($D146-$D145)</f>
        <v>0</v>
      </c>
      <c r="K145" s="83">
        <f>IF(B145=B144,0,INDEX(Flexion!D$20:Z$20,Tableau6[[#This Row],[Col.]]))</f>
        <v>0</v>
      </c>
      <c r="L145" s="92">
        <f>$L144+($D145-$D144)*(SUM($J$10:$J144,$K$10:$K144)-$J144/2)</f>
        <v>151375</v>
      </c>
      <c r="M145" s="84">
        <f>Tableau6[[#This Row],[Fr nod.]]+Tableau6[[#This Row],[Fr lin.]]</f>
        <v>0</v>
      </c>
      <c r="N145" s="92">
        <f>Tableau6[[#This Row],[Mt nod.]]+Tableau6[[#This Row],[Mt lin.]]</f>
        <v>92000</v>
      </c>
      <c r="O145" s="82">
        <f t="shared" si="17"/>
        <v>338978125</v>
      </c>
      <c r="P145" s="82">
        <f t="shared" ca="1" si="15"/>
        <v>5.0434751796157059E-4</v>
      </c>
      <c r="Q145" s="82">
        <f t="shared" si="18"/>
        <v>146786590625</v>
      </c>
      <c r="R145" s="82">
        <f t="shared" ca="1" si="16"/>
        <v>-0.23263482903787247</v>
      </c>
      <c r="S145" s="102">
        <f ca="1">OFFSET($A145,,CHOOSE(Flexion!$A$26,COLUMN($M$9)-1,COLUMN($N$9)-1,COLUMN($P$9)-1,COLUMN($R$9)-1))</f>
        <v>92000</v>
      </c>
    </row>
    <row r="146" spans="1:19" x14ac:dyDescent="0.2">
      <c r="A146" s="83">
        <f t="shared" si="14"/>
        <v>136</v>
      </c>
      <c r="B146" s="83">
        <f>MATCH(Tableau6[[#This Row],[x0]],Flexion!D$11:Z$11,1)</f>
        <v>4</v>
      </c>
      <c r="C146" s="83">
        <f>Tableau6[[#This Row],[N° pas]]*$A$2</f>
        <v>2040</v>
      </c>
      <c r="D146" s="101">
        <f>IF($B146=$B145,Tableau6[[#This Row],[x0]],INDEX(Flexion!D$11:Z$11,$B146))</f>
        <v>2040</v>
      </c>
      <c r="E146" s="83" t="str">
        <f>IF(B146=B145,"-",VALUE(INDEX(Flexion!D$10:Z$10,Tableau6[[#This Row],[Col.]])))</f>
        <v>-</v>
      </c>
      <c r="F146" s="83" t="str">
        <f>IF(E146="-","-",IF(INDEX(Flexion!D$12:Z$12,Tableau6[[#This Row],[Col.]])="","-",INDEX(Flexion!D$12:Z$12,Tableau6[[#This Row],[Col.]])))</f>
        <v>-</v>
      </c>
      <c r="G146" s="84">
        <f>IF(Tableau6[[#This Row],[Nœud]]&lt;&gt;"-",INDEX(Flexion!D$13:Z$13,Tableau6[[#This Row],[Col.]]),)</f>
        <v>0</v>
      </c>
      <c r="H146" s="83">
        <f>IF(Tableau6[[#This Row],[Appui]]&lt;&gt;"-",INDEX(Flexion!D$14:Z$14,Tableau6[[#This Row],[Col.]]),)</f>
        <v>0</v>
      </c>
      <c r="I146" s="92">
        <f>$I145+($D146-$D145)*(SUM($G$10:$G145,$H$10:$H145))</f>
        <v>-57500</v>
      </c>
      <c r="J146" s="84">
        <f>INDEX(Flexion!D$16:Z$16,Tableau6[[#This Row],[Col.]])*($D147-$D146)</f>
        <v>0</v>
      </c>
      <c r="K146" s="83">
        <f>IF(B146=B145,0,INDEX(Flexion!D$20:Z$20,Tableau6[[#This Row],[Col.]]))</f>
        <v>0</v>
      </c>
      <c r="L146" s="92">
        <f>$L145+($D146-$D145)*(SUM($J$10:$J145,$K$10:$K145)-$J145/2)</f>
        <v>138700</v>
      </c>
      <c r="M146" s="84">
        <f>Tableau6[[#This Row],[Fr nod.]]+Tableau6[[#This Row],[Fr lin.]]</f>
        <v>0</v>
      </c>
      <c r="N146" s="92">
        <f>Tableau6[[#This Row],[Mt nod.]]+Tableau6[[#This Row],[Mt lin.]]</f>
        <v>81200</v>
      </c>
      <c r="O146" s="82">
        <f t="shared" si="17"/>
        <v>340277125</v>
      </c>
      <c r="P146" s="82">
        <f t="shared" ca="1" si="15"/>
        <v>5.079648947368422E-4</v>
      </c>
      <c r="Q146" s="82">
        <f t="shared" si="18"/>
        <v>151881005000</v>
      </c>
      <c r="R146" s="82">
        <f t="shared" ca="1" si="16"/>
        <v>-0.22504248594263437</v>
      </c>
      <c r="S146" s="102">
        <f ca="1">OFFSET($A146,,CHOOSE(Flexion!$A$26,COLUMN($M$9)-1,COLUMN($N$9)-1,COLUMN($P$9)-1,COLUMN($R$9)-1))</f>
        <v>81200</v>
      </c>
    </row>
    <row r="147" spans="1:19" x14ac:dyDescent="0.2">
      <c r="A147" s="83">
        <f t="shared" si="14"/>
        <v>137</v>
      </c>
      <c r="B147" s="83">
        <f>MATCH(Tableau6[[#This Row],[x0]],Flexion!D$11:Z$11,1)</f>
        <v>4</v>
      </c>
      <c r="C147" s="83">
        <f>Tableau6[[#This Row],[N° pas]]*$A$2</f>
        <v>2055</v>
      </c>
      <c r="D147" s="101">
        <f>IF($B147=$B146,Tableau6[[#This Row],[x0]],INDEX(Flexion!D$11:Z$11,$B147))</f>
        <v>2055</v>
      </c>
      <c r="E147" s="83" t="str">
        <f>IF(B147=B146,"-",VALUE(INDEX(Flexion!D$10:Z$10,Tableau6[[#This Row],[Col.]])))</f>
        <v>-</v>
      </c>
      <c r="F147" s="83" t="str">
        <f>IF(E147="-","-",IF(INDEX(Flexion!D$12:Z$12,Tableau6[[#This Row],[Col.]])="","-",INDEX(Flexion!D$12:Z$12,Tableau6[[#This Row],[Col.]])))</f>
        <v>-</v>
      </c>
      <c r="G147" s="84">
        <f>IF(Tableau6[[#This Row],[Nœud]]&lt;&gt;"-",INDEX(Flexion!D$13:Z$13,Tableau6[[#This Row],[Col.]]),)</f>
        <v>0</v>
      </c>
      <c r="H147" s="83">
        <f>IF(Tableau6[[#This Row],[Appui]]&lt;&gt;"-",INDEX(Flexion!D$14:Z$14,Tableau6[[#This Row],[Col.]]),)</f>
        <v>0</v>
      </c>
      <c r="I147" s="92">
        <f>$I146+($D147-$D146)*(SUM($G$10:$G146,$H$10:$H146))</f>
        <v>-55625</v>
      </c>
      <c r="J147" s="84">
        <f>INDEX(Flexion!D$16:Z$16,Tableau6[[#This Row],[Col.]])*($D148-$D147)</f>
        <v>0</v>
      </c>
      <c r="K147" s="83">
        <f>IF(B147=B146,0,INDEX(Flexion!D$20:Z$20,Tableau6[[#This Row],[Col.]]))</f>
        <v>0</v>
      </c>
      <c r="L147" s="92">
        <f>$L146+($D147-$D146)*(SUM($J$10:$J146,$K$10:$K146)-$J146/2)</f>
        <v>126025</v>
      </c>
      <c r="M147" s="84">
        <f>Tableau6[[#This Row],[Fr nod.]]+Tableau6[[#This Row],[Fr lin.]]</f>
        <v>0</v>
      </c>
      <c r="N147" s="92">
        <f>Tableau6[[#This Row],[Mt nod.]]+Tableau6[[#This Row],[Mt lin.]]</f>
        <v>70400</v>
      </c>
      <c r="O147" s="82">
        <f t="shared" si="17"/>
        <v>341414125</v>
      </c>
      <c r="P147" s="82">
        <f t="shared" ca="1" si="15"/>
        <v>5.1113114369256475E-4</v>
      </c>
      <c r="Q147" s="82">
        <f t="shared" si="18"/>
        <v>156993689375</v>
      </c>
      <c r="R147" s="82">
        <f t="shared" ca="1" si="16"/>
        <v>-0.21739926565441381</v>
      </c>
      <c r="S147" s="102">
        <f ca="1">OFFSET($A147,,CHOOSE(Flexion!$A$26,COLUMN($M$9)-1,COLUMN($N$9)-1,COLUMN($P$9)-1,COLUMN($R$9)-1))</f>
        <v>70400</v>
      </c>
    </row>
    <row r="148" spans="1:19" x14ac:dyDescent="0.2">
      <c r="A148" s="83">
        <f t="shared" si="14"/>
        <v>138</v>
      </c>
      <c r="B148" s="83">
        <f>MATCH(Tableau6[[#This Row],[x0]],Flexion!D$11:Z$11,1)</f>
        <v>4</v>
      </c>
      <c r="C148" s="83">
        <f>Tableau6[[#This Row],[N° pas]]*$A$2</f>
        <v>2070</v>
      </c>
      <c r="D148" s="101">
        <f>IF($B148=$B147,Tableau6[[#This Row],[x0]],INDEX(Flexion!D$11:Z$11,$B148))</f>
        <v>2070</v>
      </c>
      <c r="E148" s="83" t="str">
        <f>IF(B148=B147,"-",VALUE(INDEX(Flexion!D$10:Z$10,Tableau6[[#This Row],[Col.]])))</f>
        <v>-</v>
      </c>
      <c r="F148" s="83" t="str">
        <f>IF(E148="-","-",IF(INDEX(Flexion!D$12:Z$12,Tableau6[[#This Row],[Col.]])="","-",INDEX(Flexion!D$12:Z$12,Tableau6[[#This Row],[Col.]])))</f>
        <v>-</v>
      </c>
      <c r="G148" s="84">
        <f>IF(Tableau6[[#This Row],[Nœud]]&lt;&gt;"-",INDEX(Flexion!D$13:Z$13,Tableau6[[#This Row],[Col.]]),)</f>
        <v>0</v>
      </c>
      <c r="H148" s="83">
        <f>IF(Tableau6[[#This Row],[Appui]]&lt;&gt;"-",INDEX(Flexion!D$14:Z$14,Tableau6[[#This Row],[Col.]]),)</f>
        <v>0</v>
      </c>
      <c r="I148" s="92">
        <f>$I147+($D148-$D147)*(SUM($G$10:$G147,$H$10:$H147))</f>
        <v>-53750</v>
      </c>
      <c r="J148" s="84">
        <f>INDEX(Flexion!D$16:Z$16,Tableau6[[#This Row],[Col.]])*($D149-$D148)</f>
        <v>0</v>
      </c>
      <c r="K148" s="83">
        <f>IF(B148=B147,0,INDEX(Flexion!D$20:Z$20,Tableau6[[#This Row],[Col.]]))</f>
        <v>0</v>
      </c>
      <c r="L148" s="92">
        <f>$L147+($D148-$D147)*(SUM($J$10:$J147,$K$10:$K147)-$J147/2)</f>
        <v>113350</v>
      </c>
      <c r="M148" s="84">
        <f>Tableau6[[#This Row],[Fr nod.]]+Tableau6[[#This Row],[Fr lin.]]</f>
        <v>0</v>
      </c>
      <c r="N148" s="92">
        <f>Tableau6[[#This Row],[Mt nod.]]+Tableau6[[#This Row],[Mt lin.]]</f>
        <v>59600</v>
      </c>
      <c r="O148" s="82">
        <f t="shared" si="17"/>
        <v>342389125</v>
      </c>
      <c r="P148" s="82">
        <f t="shared" ca="1" si="15"/>
        <v>5.1384626482873846E-4</v>
      </c>
      <c r="Q148" s="82">
        <f t="shared" si="18"/>
        <v>162122213750</v>
      </c>
      <c r="R148" s="82">
        <f t="shared" ca="1" si="16"/>
        <v>-0.20971193509050412</v>
      </c>
      <c r="S148" s="102">
        <f ca="1">OFFSET($A148,,CHOOSE(Flexion!$A$26,COLUMN($M$9)-1,COLUMN($N$9)-1,COLUMN($P$9)-1,COLUMN($R$9)-1))</f>
        <v>59600</v>
      </c>
    </row>
    <row r="149" spans="1:19" x14ac:dyDescent="0.2">
      <c r="A149" s="83">
        <f t="shared" si="14"/>
        <v>139</v>
      </c>
      <c r="B149" s="83">
        <f>MATCH(Tableau6[[#This Row],[x0]],Flexion!D$11:Z$11,1)</f>
        <v>4</v>
      </c>
      <c r="C149" s="83">
        <f>Tableau6[[#This Row],[N° pas]]*$A$2</f>
        <v>2085</v>
      </c>
      <c r="D149" s="101">
        <f>IF($B149=$B148,Tableau6[[#This Row],[x0]],INDEX(Flexion!D$11:Z$11,$B149))</f>
        <v>2085</v>
      </c>
      <c r="E149" s="83" t="str">
        <f>IF(B149=B148,"-",VALUE(INDEX(Flexion!D$10:Z$10,Tableau6[[#This Row],[Col.]])))</f>
        <v>-</v>
      </c>
      <c r="F149" s="83" t="str">
        <f>IF(E149="-","-",IF(INDEX(Flexion!D$12:Z$12,Tableau6[[#This Row],[Col.]])="","-",INDEX(Flexion!D$12:Z$12,Tableau6[[#This Row],[Col.]])))</f>
        <v>-</v>
      </c>
      <c r="G149" s="84">
        <f>IF(Tableau6[[#This Row],[Nœud]]&lt;&gt;"-",INDEX(Flexion!D$13:Z$13,Tableau6[[#This Row],[Col.]]),)</f>
        <v>0</v>
      </c>
      <c r="H149" s="83">
        <f>IF(Tableau6[[#This Row],[Appui]]&lt;&gt;"-",INDEX(Flexion!D$14:Z$14,Tableau6[[#This Row],[Col.]]),)</f>
        <v>0</v>
      </c>
      <c r="I149" s="92">
        <f>$I148+($D149-$D148)*(SUM($G$10:$G148,$H$10:$H148))</f>
        <v>-51875</v>
      </c>
      <c r="J149" s="84">
        <f>INDEX(Flexion!D$16:Z$16,Tableau6[[#This Row],[Col.]])*($D150-$D149)</f>
        <v>0</v>
      </c>
      <c r="K149" s="83">
        <f>IF(B149=B148,0,INDEX(Flexion!D$20:Z$20,Tableau6[[#This Row],[Col.]]))</f>
        <v>0</v>
      </c>
      <c r="L149" s="92">
        <f>$L148+($D149-$D148)*(SUM($J$10:$J148,$K$10:$K148)-$J148/2)</f>
        <v>100675</v>
      </c>
      <c r="M149" s="84">
        <f>Tableau6[[#This Row],[Fr nod.]]+Tableau6[[#This Row],[Fr lin.]]</f>
        <v>0</v>
      </c>
      <c r="N149" s="92">
        <f>Tableau6[[#This Row],[Mt nod.]]+Tableau6[[#This Row],[Mt lin.]]</f>
        <v>48800</v>
      </c>
      <c r="O149" s="82">
        <f t="shared" si="17"/>
        <v>343202125</v>
      </c>
      <c r="P149" s="82">
        <f t="shared" ca="1" si="15"/>
        <v>5.1611025814536334E-4</v>
      </c>
      <c r="Q149" s="82">
        <f t="shared" si="18"/>
        <v>167264148125</v>
      </c>
      <c r="R149" s="82">
        <f t="shared" ca="1" si="16"/>
        <v>-0.20198726116819832</v>
      </c>
      <c r="S149" s="102">
        <f ca="1">OFFSET($A149,,CHOOSE(Flexion!$A$26,COLUMN($M$9)-1,COLUMN($N$9)-1,COLUMN($P$9)-1,COLUMN($R$9)-1))</f>
        <v>48800</v>
      </c>
    </row>
    <row r="150" spans="1:19" x14ac:dyDescent="0.2">
      <c r="A150" s="83">
        <f t="shared" si="14"/>
        <v>140</v>
      </c>
      <c r="B150" s="83">
        <f>MATCH(Tableau6[[#This Row],[x0]],Flexion!D$11:Z$11,1)</f>
        <v>4</v>
      </c>
      <c r="C150" s="83">
        <f>Tableau6[[#This Row],[N° pas]]*$A$2</f>
        <v>2100</v>
      </c>
      <c r="D150" s="101">
        <f>IF($B150=$B149,Tableau6[[#This Row],[x0]],INDEX(Flexion!D$11:Z$11,$B150))</f>
        <v>2100</v>
      </c>
      <c r="E150" s="83" t="str">
        <f>IF(B150=B149,"-",VALUE(INDEX(Flexion!D$10:Z$10,Tableau6[[#This Row],[Col.]])))</f>
        <v>-</v>
      </c>
      <c r="F150" s="83" t="str">
        <f>IF(E150="-","-",IF(INDEX(Flexion!D$12:Z$12,Tableau6[[#This Row],[Col.]])="","-",INDEX(Flexion!D$12:Z$12,Tableau6[[#This Row],[Col.]])))</f>
        <v>-</v>
      </c>
      <c r="G150" s="84">
        <f>IF(Tableau6[[#This Row],[Nœud]]&lt;&gt;"-",INDEX(Flexion!D$13:Z$13,Tableau6[[#This Row],[Col.]]),)</f>
        <v>0</v>
      </c>
      <c r="H150" s="83">
        <f>IF(Tableau6[[#This Row],[Appui]]&lt;&gt;"-",INDEX(Flexion!D$14:Z$14,Tableau6[[#This Row],[Col.]]),)</f>
        <v>0</v>
      </c>
      <c r="I150" s="92">
        <f>$I149+($D150-$D149)*(SUM($G$10:$G149,$H$10:$H149))</f>
        <v>-50000</v>
      </c>
      <c r="J150" s="84">
        <f>INDEX(Flexion!D$16:Z$16,Tableau6[[#This Row],[Col.]])*($D151-$D150)</f>
        <v>0</v>
      </c>
      <c r="K150" s="83">
        <f>IF(B150=B149,0,INDEX(Flexion!D$20:Z$20,Tableau6[[#This Row],[Col.]]))</f>
        <v>0</v>
      </c>
      <c r="L150" s="92">
        <f>$L149+($D150-$D149)*(SUM($J$10:$J149,$K$10:$K149)-$J149/2)</f>
        <v>88000</v>
      </c>
      <c r="M150" s="84">
        <f>Tableau6[[#This Row],[Fr nod.]]+Tableau6[[#This Row],[Fr lin.]]</f>
        <v>0</v>
      </c>
      <c r="N150" s="92">
        <f>Tableau6[[#This Row],[Mt nod.]]+Tableau6[[#This Row],[Mt lin.]]</f>
        <v>38000</v>
      </c>
      <c r="O150" s="82">
        <f t="shared" si="17"/>
        <v>343853125</v>
      </c>
      <c r="P150" s="82">
        <f t="shared" ca="1" si="15"/>
        <v>5.1792312364243938E-4</v>
      </c>
      <c r="Q150" s="82">
        <f t="shared" si="18"/>
        <v>172417062500</v>
      </c>
      <c r="R150" s="82">
        <f t="shared" ca="1" si="16"/>
        <v>-0.19423201080478975</v>
      </c>
      <c r="S150" s="102">
        <f ca="1">OFFSET($A150,,CHOOSE(Flexion!$A$26,COLUMN($M$9)-1,COLUMN($N$9)-1,COLUMN($P$9)-1,COLUMN($R$9)-1))</f>
        <v>38000</v>
      </c>
    </row>
    <row r="151" spans="1:19" x14ac:dyDescent="0.2">
      <c r="A151" s="83">
        <f t="shared" si="14"/>
        <v>141</v>
      </c>
      <c r="B151" s="83">
        <f>MATCH(Tableau6[[#This Row],[x0]],Flexion!D$11:Z$11,1)</f>
        <v>4</v>
      </c>
      <c r="C151" s="83">
        <f>Tableau6[[#This Row],[N° pas]]*$A$2</f>
        <v>2115</v>
      </c>
      <c r="D151" s="101">
        <f>IF($B151=$B150,Tableau6[[#This Row],[x0]],INDEX(Flexion!D$11:Z$11,$B151))</f>
        <v>2115</v>
      </c>
      <c r="E151" s="83" t="str">
        <f>IF(B151=B150,"-",VALUE(INDEX(Flexion!D$10:Z$10,Tableau6[[#This Row],[Col.]])))</f>
        <v>-</v>
      </c>
      <c r="F151" s="83" t="str">
        <f>IF(E151="-","-",IF(INDEX(Flexion!D$12:Z$12,Tableau6[[#This Row],[Col.]])="","-",INDEX(Flexion!D$12:Z$12,Tableau6[[#This Row],[Col.]])))</f>
        <v>-</v>
      </c>
      <c r="G151" s="84">
        <f>IF(Tableau6[[#This Row],[Nœud]]&lt;&gt;"-",INDEX(Flexion!D$13:Z$13,Tableau6[[#This Row],[Col.]]),)</f>
        <v>0</v>
      </c>
      <c r="H151" s="83">
        <f>IF(Tableau6[[#This Row],[Appui]]&lt;&gt;"-",INDEX(Flexion!D$14:Z$14,Tableau6[[#This Row],[Col.]]),)</f>
        <v>0</v>
      </c>
      <c r="I151" s="92">
        <f>$I150+($D151-$D150)*(SUM($G$10:$G150,$H$10:$H150))</f>
        <v>-48125</v>
      </c>
      <c r="J151" s="84">
        <f>INDEX(Flexion!D$16:Z$16,Tableau6[[#This Row],[Col.]])*($D152-$D151)</f>
        <v>0</v>
      </c>
      <c r="K151" s="83">
        <f>IF(B151=B150,0,INDEX(Flexion!D$20:Z$20,Tableau6[[#This Row],[Col.]]))</f>
        <v>0</v>
      </c>
      <c r="L151" s="92">
        <f>$L150+($D151-$D150)*(SUM($J$10:$J150,$K$10:$K150)-$J150/2)</f>
        <v>75325</v>
      </c>
      <c r="M151" s="84">
        <f>Tableau6[[#This Row],[Fr nod.]]+Tableau6[[#This Row],[Fr lin.]]</f>
        <v>0</v>
      </c>
      <c r="N151" s="92">
        <f>Tableau6[[#This Row],[Mt nod.]]+Tableau6[[#This Row],[Mt lin.]]</f>
        <v>27200</v>
      </c>
      <c r="O151" s="82">
        <f t="shared" si="17"/>
        <v>344342125</v>
      </c>
      <c r="P151" s="82">
        <f t="shared" ca="1" si="15"/>
        <v>5.1928486131996659E-4</v>
      </c>
      <c r="Q151" s="82">
        <f t="shared" si="18"/>
        <v>177578526875</v>
      </c>
      <c r="R151" s="82">
        <f t="shared" ca="1" si="16"/>
        <v>-0.18645295091757169</v>
      </c>
      <c r="S151" s="102">
        <f ca="1">OFFSET($A151,,CHOOSE(Flexion!$A$26,COLUMN($M$9)-1,COLUMN($N$9)-1,COLUMN($P$9)-1,COLUMN($R$9)-1))</f>
        <v>27200</v>
      </c>
    </row>
    <row r="152" spans="1:19" x14ac:dyDescent="0.2">
      <c r="A152" s="83">
        <f t="shared" si="14"/>
        <v>142</v>
      </c>
      <c r="B152" s="83">
        <f>MATCH(Tableau6[[#This Row],[x0]],Flexion!D$11:Z$11,1)</f>
        <v>4</v>
      </c>
      <c r="C152" s="83">
        <f>Tableau6[[#This Row],[N° pas]]*$A$2</f>
        <v>2130</v>
      </c>
      <c r="D152" s="101">
        <f>IF($B152=$B151,Tableau6[[#This Row],[x0]],INDEX(Flexion!D$11:Z$11,$B152))</f>
        <v>2130</v>
      </c>
      <c r="E152" s="83" t="str">
        <f>IF(B152=B151,"-",VALUE(INDEX(Flexion!D$10:Z$10,Tableau6[[#This Row],[Col.]])))</f>
        <v>-</v>
      </c>
      <c r="F152" s="83" t="str">
        <f>IF(E152="-","-",IF(INDEX(Flexion!D$12:Z$12,Tableau6[[#This Row],[Col.]])="","-",INDEX(Flexion!D$12:Z$12,Tableau6[[#This Row],[Col.]])))</f>
        <v>-</v>
      </c>
      <c r="G152" s="84">
        <f>IF(Tableau6[[#This Row],[Nœud]]&lt;&gt;"-",INDEX(Flexion!D$13:Z$13,Tableau6[[#This Row],[Col.]]),)</f>
        <v>0</v>
      </c>
      <c r="H152" s="83">
        <f>IF(Tableau6[[#This Row],[Appui]]&lt;&gt;"-",INDEX(Flexion!D$14:Z$14,Tableau6[[#This Row],[Col.]]),)</f>
        <v>0</v>
      </c>
      <c r="I152" s="92">
        <f>$I151+($D152-$D151)*(SUM($G$10:$G151,$H$10:$H151))</f>
        <v>-46250</v>
      </c>
      <c r="J152" s="84">
        <f>INDEX(Flexion!D$16:Z$16,Tableau6[[#This Row],[Col.]])*($D153-$D152)</f>
        <v>0</v>
      </c>
      <c r="K152" s="83">
        <f>IF(B152=B151,0,INDEX(Flexion!D$20:Z$20,Tableau6[[#This Row],[Col.]]))</f>
        <v>0</v>
      </c>
      <c r="L152" s="92">
        <f>$L151+($D152-$D151)*(SUM($J$10:$J151,$K$10:$K151)-$J151/2)</f>
        <v>62650</v>
      </c>
      <c r="M152" s="84">
        <f>Tableau6[[#This Row],[Fr nod.]]+Tableau6[[#This Row],[Fr lin.]]</f>
        <v>0</v>
      </c>
      <c r="N152" s="92">
        <f>Tableau6[[#This Row],[Mt nod.]]+Tableau6[[#This Row],[Mt lin.]]</f>
        <v>16400</v>
      </c>
      <c r="O152" s="82">
        <f t="shared" si="17"/>
        <v>344669125</v>
      </c>
      <c r="P152" s="82">
        <f t="shared" ca="1" si="15"/>
        <v>5.2019547117794496E-4</v>
      </c>
      <c r="Q152" s="82">
        <f t="shared" si="18"/>
        <v>182746111250</v>
      </c>
      <c r="R152" s="82">
        <f t="shared" ca="1" si="16"/>
        <v>-0.17865684842383733</v>
      </c>
      <c r="S152" s="102">
        <f ca="1">OFFSET($A152,,CHOOSE(Flexion!$A$26,COLUMN($M$9)-1,COLUMN($N$9)-1,COLUMN($P$9)-1,COLUMN($R$9)-1))</f>
        <v>16400</v>
      </c>
    </row>
    <row r="153" spans="1:19" x14ac:dyDescent="0.2">
      <c r="A153" s="83">
        <f t="shared" si="14"/>
        <v>143</v>
      </c>
      <c r="B153" s="83">
        <f>MATCH(Tableau6[[#This Row],[x0]],Flexion!D$11:Z$11,1)</f>
        <v>4</v>
      </c>
      <c r="C153" s="83">
        <f>Tableau6[[#This Row],[N° pas]]*$A$2</f>
        <v>2145</v>
      </c>
      <c r="D153" s="101">
        <f>IF($B153=$B152,Tableau6[[#This Row],[x0]],INDEX(Flexion!D$11:Z$11,$B153))</f>
        <v>2145</v>
      </c>
      <c r="E153" s="83" t="str">
        <f>IF(B153=B152,"-",VALUE(INDEX(Flexion!D$10:Z$10,Tableau6[[#This Row],[Col.]])))</f>
        <v>-</v>
      </c>
      <c r="F153" s="83" t="str">
        <f>IF(E153="-","-",IF(INDEX(Flexion!D$12:Z$12,Tableau6[[#This Row],[Col.]])="","-",INDEX(Flexion!D$12:Z$12,Tableau6[[#This Row],[Col.]])))</f>
        <v>-</v>
      </c>
      <c r="G153" s="84">
        <f>IF(Tableau6[[#This Row],[Nœud]]&lt;&gt;"-",INDEX(Flexion!D$13:Z$13,Tableau6[[#This Row],[Col.]]),)</f>
        <v>0</v>
      </c>
      <c r="H153" s="83">
        <f>IF(Tableau6[[#This Row],[Appui]]&lt;&gt;"-",INDEX(Flexion!D$14:Z$14,Tableau6[[#This Row],[Col.]]),)</f>
        <v>0</v>
      </c>
      <c r="I153" s="92">
        <f>$I152+($D153-$D152)*(SUM($G$10:$G152,$H$10:$H152))</f>
        <v>-44375</v>
      </c>
      <c r="J153" s="84">
        <f>INDEX(Flexion!D$16:Z$16,Tableau6[[#This Row],[Col.]])*($D154-$D153)</f>
        <v>0</v>
      </c>
      <c r="K153" s="83">
        <f>IF(B153=B152,0,INDEX(Flexion!D$20:Z$20,Tableau6[[#This Row],[Col.]]))</f>
        <v>0</v>
      </c>
      <c r="L153" s="92">
        <f>$L152+($D153-$D152)*(SUM($J$10:$J152,$K$10:$K152)-$J152/2)</f>
        <v>49975</v>
      </c>
      <c r="M153" s="84">
        <f>Tableau6[[#This Row],[Fr nod.]]+Tableau6[[#This Row],[Fr lin.]]</f>
        <v>0</v>
      </c>
      <c r="N153" s="92">
        <f>Tableau6[[#This Row],[Mt nod.]]+Tableau6[[#This Row],[Mt lin.]]</f>
        <v>5600</v>
      </c>
      <c r="O153" s="82">
        <f t="shared" si="17"/>
        <v>344834125</v>
      </c>
      <c r="P153" s="82">
        <f t="shared" ca="1" si="15"/>
        <v>5.2065495321637427E-4</v>
      </c>
      <c r="Q153" s="82">
        <f t="shared" si="18"/>
        <v>187917385625</v>
      </c>
      <c r="R153" s="82">
        <f t="shared" ca="1" si="16"/>
        <v>-0.17085047024088007</v>
      </c>
      <c r="S153" s="102">
        <f ca="1">OFFSET($A153,,CHOOSE(Flexion!$A$26,COLUMN($M$9)-1,COLUMN($N$9)-1,COLUMN($P$9)-1,COLUMN($R$9)-1))</f>
        <v>5600</v>
      </c>
    </row>
    <row r="154" spans="1:19" x14ac:dyDescent="0.2">
      <c r="A154" s="83">
        <f t="shared" si="14"/>
        <v>144</v>
      </c>
      <c r="B154" s="83">
        <f>MATCH(Tableau6[[#This Row],[x0]],Flexion!D$11:Z$11,1)</f>
        <v>5</v>
      </c>
      <c r="C154" s="83">
        <f>Tableau6[[#This Row],[N° pas]]*$A$2</f>
        <v>2160</v>
      </c>
      <c r="D154" s="101">
        <f>IF($B154=$B153,Tableau6[[#This Row],[x0]],INDEX(Flexion!D$11:Z$11,$B154))</f>
        <v>2151</v>
      </c>
      <c r="E154" s="83">
        <f>IF(B154=B153,"-",VALUE(INDEX(Flexion!D$10:Z$10,Tableau6[[#This Row],[Col.]])))</f>
        <v>5</v>
      </c>
      <c r="F154" s="83" t="str">
        <f>IF(E154="-","-",IF(INDEX(Flexion!D$12:Z$12,Tableau6[[#This Row],[Col.]])="","-",INDEX(Flexion!D$12:Z$12,Tableau6[[#This Row],[Col.]])))</f>
        <v>-</v>
      </c>
      <c r="G154" s="84">
        <f>IF(Tableau6[[#This Row],[Nœud]]&lt;&gt;"-",INDEX(Flexion!D$13:Z$13,Tableau6[[#This Row],[Col.]]),)</f>
        <v>0</v>
      </c>
      <c r="H154" s="83">
        <f>IF(Tableau6[[#This Row],[Appui]]&lt;&gt;"-",INDEX(Flexion!D$14:Z$14,Tableau6[[#This Row],[Col.]]),)</f>
        <v>0</v>
      </c>
      <c r="I154" s="92">
        <f>$I153+($D154-$D153)*(SUM($G$10:$G153,$H$10:$H153))</f>
        <v>-43625</v>
      </c>
      <c r="J154" s="84">
        <f>INDEX(Flexion!D$16:Z$16,Tableau6[[#This Row],[Col.]])*($D155-$D154)</f>
        <v>0</v>
      </c>
      <c r="K154" s="83">
        <f>IF(B154=B153,0,INDEX(Flexion!D$20:Z$20,Tableau6[[#This Row],[Col.]]))</f>
        <v>0</v>
      </c>
      <c r="L154" s="92">
        <f>$L153+($D154-$D153)*(SUM($J$10:$J153,$K$10:$K153)-$J153/2)</f>
        <v>44905</v>
      </c>
      <c r="M154" s="84">
        <f>Tableau6[[#This Row],[Fr nod.]]+Tableau6[[#This Row],[Fr lin.]]</f>
        <v>0</v>
      </c>
      <c r="N154" s="92">
        <f>Tableau6[[#This Row],[Mt nod.]]+Tableau6[[#This Row],[Mt lin.]]</f>
        <v>1280</v>
      </c>
      <c r="O154" s="82">
        <f t="shared" si="17"/>
        <v>344854765</v>
      </c>
      <c r="P154" s="82">
        <f t="shared" ca="1" si="15"/>
        <v>5.2071243024227236E-4</v>
      </c>
      <c r="Q154" s="82">
        <f t="shared" si="18"/>
        <v>189986452295</v>
      </c>
      <c r="R154" s="82">
        <f t="shared" ca="1" si="16"/>
        <v>-0.16772636809050401</v>
      </c>
      <c r="S154" s="102">
        <f ca="1">OFFSET($A154,,CHOOSE(Flexion!$A$26,COLUMN($M$9)-1,COLUMN($N$9)-1,COLUMN($P$9)-1,COLUMN($R$9)-1))</f>
        <v>1280</v>
      </c>
    </row>
    <row r="155" spans="1:19" x14ac:dyDescent="0.2">
      <c r="A155" s="83">
        <f t="shared" si="14"/>
        <v>145</v>
      </c>
      <c r="B155" s="83">
        <f>MATCH(Tableau6[[#This Row],[x0]],Flexion!D$11:Z$11,1)</f>
        <v>5</v>
      </c>
      <c r="C155" s="83">
        <f>Tableau6[[#This Row],[N° pas]]*$A$2</f>
        <v>2175</v>
      </c>
      <c r="D155" s="101">
        <f>IF($B155=$B154,Tableau6[[#This Row],[x0]],INDEX(Flexion!D$11:Z$11,$B155))</f>
        <v>2175</v>
      </c>
      <c r="E155" s="83" t="str">
        <f>IF(B155=B154,"-",VALUE(INDEX(Flexion!D$10:Z$10,Tableau6[[#This Row],[Col.]])))</f>
        <v>-</v>
      </c>
      <c r="F155" s="83" t="str">
        <f>IF(E155="-","-",IF(INDEX(Flexion!D$12:Z$12,Tableau6[[#This Row],[Col.]])="","-",INDEX(Flexion!D$12:Z$12,Tableau6[[#This Row],[Col.]])))</f>
        <v>-</v>
      </c>
      <c r="G155" s="84">
        <f>IF(Tableau6[[#This Row],[Nœud]]&lt;&gt;"-",INDEX(Flexion!D$13:Z$13,Tableau6[[#This Row],[Col.]]),)</f>
        <v>0</v>
      </c>
      <c r="H155" s="83">
        <f>IF(Tableau6[[#This Row],[Appui]]&lt;&gt;"-",INDEX(Flexion!D$14:Z$14,Tableau6[[#This Row],[Col.]]),)</f>
        <v>0</v>
      </c>
      <c r="I155" s="92">
        <f>$I154+($D155-$D154)*(SUM($G$10:$G154,$H$10:$H154))</f>
        <v>-40625</v>
      </c>
      <c r="J155" s="84">
        <f>INDEX(Flexion!D$16:Z$16,Tableau6[[#This Row],[Col.]])*($D156-$D155)</f>
        <v>0</v>
      </c>
      <c r="K155" s="83">
        <f>IF(B155=B154,0,INDEX(Flexion!D$20:Z$20,Tableau6[[#This Row],[Col.]]))</f>
        <v>0</v>
      </c>
      <c r="L155" s="92">
        <f>$L154+($D155-$D154)*(SUM($J$10:$J154,$K$10:$K154)-$J154/2)</f>
        <v>24625</v>
      </c>
      <c r="M155" s="84">
        <f>Tableau6[[#This Row],[Fr nod.]]+Tableau6[[#This Row],[Fr lin.]]</f>
        <v>0</v>
      </c>
      <c r="N155" s="92">
        <f>Tableau6[[#This Row],[Mt nod.]]+Tableau6[[#This Row],[Mt lin.]]</f>
        <v>-16000</v>
      </c>
      <c r="O155" s="82">
        <f t="shared" si="17"/>
        <v>344678125</v>
      </c>
      <c r="P155" s="82">
        <f t="shared" ca="1" si="15"/>
        <v>5.202205338345864E-4</v>
      </c>
      <c r="Q155" s="82">
        <f t="shared" si="18"/>
        <v>198260846975</v>
      </c>
      <c r="R155" s="82">
        <f t="shared" ca="1" si="16"/>
        <v>-0.1552351725215817</v>
      </c>
      <c r="S155" s="102">
        <f ca="1">OFFSET($A155,,CHOOSE(Flexion!$A$26,COLUMN($M$9)-1,COLUMN($N$9)-1,COLUMN($P$9)-1,COLUMN($R$9)-1))</f>
        <v>-16000</v>
      </c>
    </row>
    <row r="156" spans="1:19" x14ac:dyDescent="0.2">
      <c r="A156" s="83">
        <f t="shared" si="14"/>
        <v>146</v>
      </c>
      <c r="B156" s="83">
        <f>MATCH(Tableau6[[#This Row],[x0]],Flexion!D$11:Z$11,1)</f>
        <v>5</v>
      </c>
      <c r="C156" s="83">
        <f>Tableau6[[#This Row],[N° pas]]*$A$2</f>
        <v>2190</v>
      </c>
      <c r="D156" s="101">
        <f>IF($B156=$B155,Tableau6[[#This Row],[x0]],INDEX(Flexion!D$11:Z$11,$B156))</f>
        <v>2190</v>
      </c>
      <c r="E156" s="83" t="str">
        <f>IF(B156=B155,"-",VALUE(INDEX(Flexion!D$10:Z$10,Tableau6[[#This Row],[Col.]])))</f>
        <v>-</v>
      </c>
      <c r="F156" s="83" t="str">
        <f>IF(E156="-","-",IF(INDEX(Flexion!D$12:Z$12,Tableau6[[#This Row],[Col.]])="","-",INDEX(Flexion!D$12:Z$12,Tableau6[[#This Row],[Col.]])))</f>
        <v>-</v>
      </c>
      <c r="G156" s="84">
        <f>IF(Tableau6[[#This Row],[Nœud]]&lt;&gt;"-",INDEX(Flexion!D$13:Z$13,Tableau6[[#This Row],[Col.]]),)</f>
        <v>0</v>
      </c>
      <c r="H156" s="83">
        <f>IF(Tableau6[[#This Row],[Appui]]&lt;&gt;"-",INDEX(Flexion!D$14:Z$14,Tableau6[[#This Row],[Col.]]),)</f>
        <v>0</v>
      </c>
      <c r="I156" s="92">
        <f>$I155+($D156-$D155)*(SUM($G$10:$G155,$H$10:$H155))</f>
        <v>-38750</v>
      </c>
      <c r="J156" s="84">
        <f>INDEX(Flexion!D$16:Z$16,Tableau6[[#This Row],[Col.]])*($D157-$D156)</f>
        <v>0</v>
      </c>
      <c r="K156" s="83">
        <f>IF(B156=B155,0,INDEX(Flexion!D$20:Z$20,Tableau6[[#This Row],[Col.]]))</f>
        <v>0</v>
      </c>
      <c r="L156" s="92">
        <f>$L155+($D156-$D155)*(SUM($J$10:$J155,$K$10:$K155)-$J155/2)</f>
        <v>11950</v>
      </c>
      <c r="M156" s="84">
        <f>Tableau6[[#This Row],[Fr nod.]]+Tableau6[[#This Row],[Fr lin.]]</f>
        <v>0</v>
      </c>
      <c r="N156" s="92">
        <f>Tableau6[[#This Row],[Mt nod.]]+Tableau6[[#This Row],[Mt lin.]]</f>
        <v>-26800</v>
      </c>
      <c r="O156" s="82">
        <f t="shared" si="17"/>
        <v>344357125</v>
      </c>
      <c r="P156" s="82">
        <f t="shared" ca="1" si="15"/>
        <v>5.1932663241436921E-4</v>
      </c>
      <c r="Q156" s="82">
        <f t="shared" si="18"/>
        <v>203428611350</v>
      </c>
      <c r="R156" s="82">
        <f t="shared" ca="1" si="16"/>
        <v>-0.14743856877471451</v>
      </c>
      <c r="S156" s="102">
        <f ca="1">OFFSET($A156,,CHOOSE(Flexion!$A$26,COLUMN($M$9)-1,COLUMN($N$9)-1,COLUMN($P$9)-1,COLUMN($R$9)-1))</f>
        <v>-26800</v>
      </c>
    </row>
    <row r="157" spans="1:19" x14ac:dyDescent="0.2">
      <c r="A157" s="83">
        <f t="shared" si="14"/>
        <v>147</v>
      </c>
      <c r="B157" s="83">
        <f>MATCH(Tableau6[[#This Row],[x0]],Flexion!D$11:Z$11,1)</f>
        <v>5</v>
      </c>
      <c r="C157" s="83">
        <f>Tableau6[[#This Row],[N° pas]]*$A$2</f>
        <v>2205</v>
      </c>
      <c r="D157" s="101">
        <f>IF($B157=$B156,Tableau6[[#This Row],[x0]],INDEX(Flexion!D$11:Z$11,$B157))</f>
        <v>2205</v>
      </c>
      <c r="E157" s="83" t="str">
        <f>IF(B157=B156,"-",VALUE(INDEX(Flexion!D$10:Z$10,Tableau6[[#This Row],[Col.]])))</f>
        <v>-</v>
      </c>
      <c r="F157" s="83" t="str">
        <f>IF(E157="-","-",IF(INDEX(Flexion!D$12:Z$12,Tableau6[[#This Row],[Col.]])="","-",INDEX(Flexion!D$12:Z$12,Tableau6[[#This Row],[Col.]])))</f>
        <v>-</v>
      </c>
      <c r="G157" s="84">
        <f>IF(Tableau6[[#This Row],[Nœud]]&lt;&gt;"-",INDEX(Flexion!D$13:Z$13,Tableau6[[#This Row],[Col.]]),)</f>
        <v>0</v>
      </c>
      <c r="H157" s="83">
        <f>IF(Tableau6[[#This Row],[Appui]]&lt;&gt;"-",INDEX(Flexion!D$14:Z$14,Tableau6[[#This Row],[Col.]]),)</f>
        <v>0</v>
      </c>
      <c r="I157" s="92">
        <f>$I156+($D157-$D156)*(SUM($G$10:$G156,$H$10:$H156))</f>
        <v>-36875</v>
      </c>
      <c r="J157" s="84">
        <f>INDEX(Flexion!D$16:Z$16,Tableau6[[#This Row],[Col.]])*($D158-$D157)</f>
        <v>0</v>
      </c>
      <c r="K157" s="83">
        <f>IF(B157=B156,0,INDEX(Flexion!D$20:Z$20,Tableau6[[#This Row],[Col.]]))</f>
        <v>0</v>
      </c>
      <c r="L157" s="92">
        <f>$L156+($D157-$D156)*(SUM($J$10:$J156,$K$10:$K156)-$J156/2)</f>
        <v>-725</v>
      </c>
      <c r="M157" s="84">
        <f>Tableau6[[#This Row],[Fr nod.]]+Tableau6[[#This Row],[Fr lin.]]</f>
        <v>0</v>
      </c>
      <c r="N157" s="92">
        <f>Tableau6[[#This Row],[Mt nod.]]+Tableau6[[#This Row],[Mt lin.]]</f>
        <v>-37600</v>
      </c>
      <c r="O157" s="82">
        <f t="shared" si="17"/>
        <v>343874125</v>
      </c>
      <c r="P157" s="82">
        <f t="shared" ca="1" si="15"/>
        <v>5.1798160317460319E-4</v>
      </c>
      <c r="Q157" s="82">
        <f t="shared" si="18"/>
        <v>208590345725</v>
      </c>
      <c r="R157" s="82">
        <f t="shared" ca="1" si="16"/>
        <v>-0.13965875700779729</v>
      </c>
      <c r="S157" s="102">
        <f ca="1">OFFSET($A157,,CHOOSE(Flexion!$A$26,COLUMN($M$9)-1,COLUMN($N$9)-1,COLUMN($P$9)-1,COLUMN($R$9)-1))</f>
        <v>-37600</v>
      </c>
    </row>
    <row r="158" spans="1:19" x14ac:dyDescent="0.2">
      <c r="A158" s="83">
        <f t="shared" si="14"/>
        <v>148</v>
      </c>
      <c r="B158" s="83">
        <f>MATCH(Tableau6[[#This Row],[x0]],Flexion!D$11:Z$11,1)</f>
        <v>5</v>
      </c>
      <c r="C158" s="83">
        <f>Tableau6[[#This Row],[N° pas]]*$A$2</f>
        <v>2220</v>
      </c>
      <c r="D158" s="101">
        <f>IF($B158=$B157,Tableau6[[#This Row],[x0]],INDEX(Flexion!D$11:Z$11,$B158))</f>
        <v>2220</v>
      </c>
      <c r="E158" s="83" t="str">
        <f>IF(B158=B157,"-",VALUE(INDEX(Flexion!D$10:Z$10,Tableau6[[#This Row],[Col.]])))</f>
        <v>-</v>
      </c>
      <c r="F158" s="83" t="str">
        <f>IF(E158="-","-",IF(INDEX(Flexion!D$12:Z$12,Tableau6[[#This Row],[Col.]])="","-",INDEX(Flexion!D$12:Z$12,Tableau6[[#This Row],[Col.]])))</f>
        <v>-</v>
      </c>
      <c r="G158" s="84">
        <f>IF(Tableau6[[#This Row],[Nœud]]&lt;&gt;"-",INDEX(Flexion!D$13:Z$13,Tableau6[[#This Row],[Col.]]),)</f>
        <v>0</v>
      </c>
      <c r="H158" s="83">
        <f>IF(Tableau6[[#This Row],[Appui]]&lt;&gt;"-",INDEX(Flexion!D$14:Z$14,Tableau6[[#This Row],[Col.]]),)</f>
        <v>0</v>
      </c>
      <c r="I158" s="92">
        <f>$I157+($D158-$D157)*(SUM($G$10:$G157,$H$10:$H157))</f>
        <v>-35000</v>
      </c>
      <c r="J158" s="84">
        <f>INDEX(Flexion!D$16:Z$16,Tableau6[[#This Row],[Col.]])*($D159-$D158)</f>
        <v>0</v>
      </c>
      <c r="K158" s="83">
        <f>IF(B158=B157,0,INDEX(Flexion!D$20:Z$20,Tableau6[[#This Row],[Col.]]))</f>
        <v>0</v>
      </c>
      <c r="L158" s="92">
        <f>$L157+($D158-$D157)*(SUM($J$10:$J157,$K$10:$K157)-$J157/2)</f>
        <v>-13400</v>
      </c>
      <c r="M158" s="84">
        <f>Tableau6[[#This Row],[Fr nod.]]+Tableau6[[#This Row],[Fr lin.]]</f>
        <v>0</v>
      </c>
      <c r="N158" s="92">
        <f>Tableau6[[#This Row],[Mt nod.]]+Tableau6[[#This Row],[Mt lin.]]</f>
        <v>-48400</v>
      </c>
      <c r="O158" s="82">
        <f t="shared" si="17"/>
        <v>343229125</v>
      </c>
      <c r="P158" s="82">
        <f t="shared" ca="1" si="15"/>
        <v>5.1618544611528832E-4</v>
      </c>
      <c r="Q158" s="82">
        <f t="shared" si="18"/>
        <v>213743620100</v>
      </c>
      <c r="R158" s="82">
        <f t="shared" ca="1" si="16"/>
        <v>-0.1319025041381231</v>
      </c>
      <c r="S158" s="102">
        <f ca="1">OFFSET($A158,,CHOOSE(Flexion!$A$26,COLUMN($M$9)-1,COLUMN($N$9)-1,COLUMN($P$9)-1,COLUMN($R$9)-1))</f>
        <v>-48400</v>
      </c>
    </row>
    <row r="159" spans="1:19" x14ac:dyDescent="0.2">
      <c r="A159" s="83">
        <f t="shared" si="14"/>
        <v>149</v>
      </c>
      <c r="B159" s="83">
        <f>MATCH(Tableau6[[#This Row],[x0]],Flexion!D$11:Z$11,1)</f>
        <v>5</v>
      </c>
      <c r="C159" s="83">
        <f>Tableau6[[#This Row],[N° pas]]*$A$2</f>
        <v>2235</v>
      </c>
      <c r="D159" s="101">
        <f>IF($B159=$B158,Tableau6[[#This Row],[x0]],INDEX(Flexion!D$11:Z$11,$B159))</f>
        <v>2235</v>
      </c>
      <c r="E159" s="83" t="str">
        <f>IF(B159=B158,"-",VALUE(INDEX(Flexion!D$10:Z$10,Tableau6[[#This Row],[Col.]])))</f>
        <v>-</v>
      </c>
      <c r="F159" s="83" t="str">
        <f>IF(E159="-","-",IF(INDEX(Flexion!D$12:Z$12,Tableau6[[#This Row],[Col.]])="","-",INDEX(Flexion!D$12:Z$12,Tableau6[[#This Row],[Col.]])))</f>
        <v>-</v>
      </c>
      <c r="G159" s="84">
        <f>IF(Tableau6[[#This Row],[Nœud]]&lt;&gt;"-",INDEX(Flexion!D$13:Z$13,Tableau6[[#This Row],[Col.]]),)</f>
        <v>0</v>
      </c>
      <c r="H159" s="83">
        <f>IF(Tableau6[[#This Row],[Appui]]&lt;&gt;"-",INDEX(Flexion!D$14:Z$14,Tableau6[[#This Row],[Col.]]),)</f>
        <v>0</v>
      </c>
      <c r="I159" s="92">
        <f>$I158+($D159-$D158)*(SUM($G$10:$G158,$H$10:$H158))</f>
        <v>-33125</v>
      </c>
      <c r="J159" s="84">
        <f>INDEX(Flexion!D$16:Z$16,Tableau6[[#This Row],[Col.]])*($D160-$D159)</f>
        <v>0</v>
      </c>
      <c r="K159" s="83">
        <f>IF(B159=B158,0,INDEX(Flexion!D$20:Z$20,Tableau6[[#This Row],[Col.]]))</f>
        <v>0</v>
      </c>
      <c r="L159" s="92">
        <f>$L158+($D159-$D158)*(SUM($J$10:$J158,$K$10:$K158)-$J158/2)</f>
        <v>-26075</v>
      </c>
      <c r="M159" s="84">
        <f>Tableau6[[#This Row],[Fr nod.]]+Tableau6[[#This Row],[Fr lin.]]</f>
        <v>0</v>
      </c>
      <c r="N159" s="92">
        <f>Tableau6[[#This Row],[Mt nod.]]+Tableau6[[#This Row],[Mt lin.]]</f>
        <v>-59200</v>
      </c>
      <c r="O159" s="82">
        <f t="shared" si="17"/>
        <v>342422125</v>
      </c>
      <c r="P159" s="82">
        <f t="shared" ca="1" si="15"/>
        <v>5.1393816123642441E-4</v>
      </c>
      <c r="Q159" s="82">
        <f t="shared" si="18"/>
        <v>218886004475</v>
      </c>
      <c r="R159" s="82">
        <f t="shared" ca="1" si="16"/>
        <v>-0.12417657708298524</v>
      </c>
      <c r="S159" s="102">
        <f ca="1">OFFSET($A159,,CHOOSE(Flexion!$A$26,COLUMN($M$9)-1,COLUMN($N$9)-1,COLUMN($P$9)-1,COLUMN($R$9)-1))</f>
        <v>-59200</v>
      </c>
    </row>
    <row r="160" spans="1:19" x14ac:dyDescent="0.2">
      <c r="A160" s="83">
        <f t="shared" si="14"/>
        <v>150</v>
      </c>
      <c r="B160" s="83">
        <f>MATCH(Tableau6[[#This Row],[x0]],Flexion!D$11:Z$11,1)</f>
        <v>5</v>
      </c>
      <c r="C160" s="83">
        <f>Tableau6[[#This Row],[N° pas]]*$A$2</f>
        <v>2250</v>
      </c>
      <c r="D160" s="101">
        <f>IF($B160=$B159,Tableau6[[#This Row],[x0]],INDEX(Flexion!D$11:Z$11,$B160))</f>
        <v>2250</v>
      </c>
      <c r="E160" s="83" t="str">
        <f>IF(B160=B159,"-",VALUE(INDEX(Flexion!D$10:Z$10,Tableau6[[#This Row],[Col.]])))</f>
        <v>-</v>
      </c>
      <c r="F160" s="83" t="str">
        <f>IF(E160="-","-",IF(INDEX(Flexion!D$12:Z$12,Tableau6[[#This Row],[Col.]])="","-",INDEX(Flexion!D$12:Z$12,Tableau6[[#This Row],[Col.]])))</f>
        <v>-</v>
      </c>
      <c r="G160" s="84">
        <f>IF(Tableau6[[#This Row],[Nœud]]&lt;&gt;"-",INDEX(Flexion!D$13:Z$13,Tableau6[[#This Row],[Col.]]),)</f>
        <v>0</v>
      </c>
      <c r="H160" s="83">
        <f>IF(Tableau6[[#This Row],[Appui]]&lt;&gt;"-",INDEX(Flexion!D$14:Z$14,Tableau6[[#This Row],[Col.]]),)</f>
        <v>0</v>
      </c>
      <c r="I160" s="92">
        <f>$I159+($D160-$D159)*(SUM($G$10:$G159,$H$10:$H159))</f>
        <v>-31250</v>
      </c>
      <c r="J160" s="84">
        <f>INDEX(Flexion!D$16:Z$16,Tableau6[[#This Row],[Col.]])*($D161-$D160)</f>
        <v>0</v>
      </c>
      <c r="K160" s="83">
        <f>IF(B160=B159,0,INDEX(Flexion!D$20:Z$20,Tableau6[[#This Row],[Col.]]))</f>
        <v>0</v>
      </c>
      <c r="L160" s="92">
        <f>$L159+($D160-$D159)*(SUM($J$10:$J159,$K$10:$K159)-$J159/2)</f>
        <v>-38750</v>
      </c>
      <c r="M160" s="84">
        <f>Tableau6[[#This Row],[Fr nod.]]+Tableau6[[#This Row],[Fr lin.]]</f>
        <v>0</v>
      </c>
      <c r="N160" s="92">
        <f>Tableau6[[#This Row],[Mt nod.]]+Tableau6[[#This Row],[Mt lin.]]</f>
        <v>-70000</v>
      </c>
      <c r="O160" s="82">
        <f t="shared" si="17"/>
        <v>341453125</v>
      </c>
      <c r="P160" s="82">
        <f t="shared" ca="1" si="15"/>
        <v>5.1123974853801166E-4</v>
      </c>
      <c r="Q160" s="82">
        <f t="shared" si="18"/>
        <v>224015068850</v>
      </c>
      <c r="R160" s="82">
        <f t="shared" ca="1" si="16"/>
        <v>-0.11648774275967699</v>
      </c>
      <c r="S160" s="102">
        <f ca="1">OFFSET($A160,,CHOOSE(Flexion!$A$26,COLUMN($M$9)-1,COLUMN($N$9)-1,COLUMN($P$9)-1,COLUMN($R$9)-1))</f>
        <v>-70000</v>
      </c>
    </row>
    <row r="161" spans="1:19" x14ac:dyDescent="0.2">
      <c r="A161" s="83">
        <f t="shared" si="14"/>
        <v>151</v>
      </c>
      <c r="B161" s="83">
        <f>MATCH(Tableau6[[#This Row],[x0]],Flexion!D$11:Z$11,1)</f>
        <v>5</v>
      </c>
      <c r="C161" s="83">
        <f>Tableau6[[#This Row],[N° pas]]*$A$2</f>
        <v>2265</v>
      </c>
      <c r="D161" s="101">
        <f>IF($B161=$B160,Tableau6[[#This Row],[x0]],INDEX(Flexion!D$11:Z$11,$B161))</f>
        <v>2265</v>
      </c>
      <c r="E161" s="83" t="str">
        <f>IF(B161=B160,"-",VALUE(INDEX(Flexion!D$10:Z$10,Tableau6[[#This Row],[Col.]])))</f>
        <v>-</v>
      </c>
      <c r="F161" s="83" t="str">
        <f>IF(E161="-","-",IF(INDEX(Flexion!D$12:Z$12,Tableau6[[#This Row],[Col.]])="","-",INDEX(Flexion!D$12:Z$12,Tableau6[[#This Row],[Col.]])))</f>
        <v>-</v>
      </c>
      <c r="G161" s="84">
        <f>IF(Tableau6[[#This Row],[Nœud]]&lt;&gt;"-",INDEX(Flexion!D$13:Z$13,Tableau6[[#This Row],[Col.]]),)</f>
        <v>0</v>
      </c>
      <c r="H161" s="83">
        <f>IF(Tableau6[[#This Row],[Appui]]&lt;&gt;"-",INDEX(Flexion!D$14:Z$14,Tableau6[[#This Row],[Col.]]),)</f>
        <v>0</v>
      </c>
      <c r="I161" s="92">
        <f>$I160+($D161-$D160)*(SUM($G$10:$G160,$H$10:$H160))</f>
        <v>-29375</v>
      </c>
      <c r="J161" s="84">
        <f>INDEX(Flexion!D$16:Z$16,Tableau6[[#This Row],[Col.]])*($D162-$D161)</f>
        <v>0</v>
      </c>
      <c r="K161" s="83">
        <f>IF(B161=B160,0,INDEX(Flexion!D$20:Z$20,Tableau6[[#This Row],[Col.]]))</f>
        <v>0</v>
      </c>
      <c r="L161" s="92">
        <f>$L160+($D161-$D160)*(SUM($J$10:$J160,$K$10:$K160)-$J160/2)</f>
        <v>-51425</v>
      </c>
      <c r="M161" s="84">
        <f>Tableau6[[#This Row],[Fr nod.]]+Tableau6[[#This Row],[Fr lin.]]</f>
        <v>0</v>
      </c>
      <c r="N161" s="92">
        <f>Tableau6[[#This Row],[Mt nod.]]+Tableau6[[#This Row],[Mt lin.]]</f>
        <v>-80800</v>
      </c>
      <c r="O161" s="82">
        <f t="shared" si="17"/>
        <v>340322125</v>
      </c>
      <c r="P161" s="82">
        <f t="shared" ca="1" si="15"/>
        <v>5.0809020802005007E-4</v>
      </c>
      <c r="Q161" s="82">
        <f t="shared" si="18"/>
        <v>229128383225</v>
      </c>
      <c r="R161" s="82">
        <f t="shared" ca="1" si="16"/>
        <v>-0.10884276808549154</v>
      </c>
      <c r="S161" s="102">
        <f ca="1">OFFSET($A161,,CHOOSE(Flexion!$A$26,COLUMN($M$9)-1,COLUMN($N$9)-1,COLUMN($P$9)-1,COLUMN($R$9)-1))</f>
        <v>-80800</v>
      </c>
    </row>
    <row r="162" spans="1:19" x14ac:dyDescent="0.2">
      <c r="A162" s="83">
        <f t="shared" si="14"/>
        <v>152</v>
      </c>
      <c r="B162" s="83">
        <f>MATCH(Tableau6[[#This Row],[x0]],Flexion!D$11:Z$11,1)</f>
        <v>5</v>
      </c>
      <c r="C162" s="83">
        <f>Tableau6[[#This Row],[N° pas]]*$A$2</f>
        <v>2280</v>
      </c>
      <c r="D162" s="101">
        <f>IF($B162=$B161,Tableau6[[#This Row],[x0]],INDEX(Flexion!D$11:Z$11,$B162))</f>
        <v>2280</v>
      </c>
      <c r="E162" s="83" t="str">
        <f>IF(B162=B161,"-",VALUE(INDEX(Flexion!D$10:Z$10,Tableau6[[#This Row],[Col.]])))</f>
        <v>-</v>
      </c>
      <c r="F162" s="83" t="str">
        <f>IF(E162="-","-",IF(INDEX(Flexion!D$12:Z$12,Tableau6[[#This Row],[Col.]])="","-",INDEX(Flexion!D$12:Z$12,Tableau6[[#This Row],[Col.]])))</f>
        <v>-</v>
      </c>
      <c r="G162" s="84">
        <f>IF(Tableau6[[#This Row],[Nœud]]&lt;&gt;"-",INDEX(Flexion!D$13:Z$13,Tableau6[[#This Row],[Col.]]),)</f>
        <v>0</v>
      </c>
      <c r="H162" s="83">
        <f>IF(Tableau6[[#This Row],[Appui]]&lt;&gt;"-",INDEX(Flexion!D$14:Z$14,Tableau6[[#This Row],[Col.]]),)</f>
        <v>0</v>
      </c>
      <c r="I162" s="92">
        <f>$I161+($D162-$D161)*(SUM($G$10:$G161,$H$10:$H161))</f>
        <v>-27500</v>
      </c>
      <c r="J162" s="84">
        <f>INDEX(Flexion!D$16:Z$16,Tableau6[[#This Row],[Col.]])*($D163-$D162)</f>
        <v>0</v>
      </c>
      <c r="K162" s="83">
        <f>IF(B162=B161,0,INDEX(Flexion!D$20:Z$20,Tableau6[[#This Row],[Col.]]))</f>
        <v>0</v>
      </c>
      <c r="L162" s="92">
        <f>$L161+($D162-$D161)*(SUM($J$10:$J161,$K$10:$K161)-$J161/2)</f>
        <v>-64100</v>
      </c>
      <c r="M162" s="84">
        <f>Tableau6[[#This Row],[Fr nod.]]+Tableau6[[#This Row],[Fr lin.]]</f>
        <v>0</v>
      </c>
      <c r="N162" s="92">
        <f>Tableau6[[#This Row],[Mt nod.]]+Tableau6[[#This Row],[Mt lin.]]</f>
        <v>-91600</v>
      </c>
      <c r="O162" s="82">
        <f t="shared" si="17"/>
        <v>339029125</v>
      </c>
      <c r="P162" s="82">
        <f t="shared" ca="1" si="15"/>
        <v>5.0448953968253965E-4</v>
      </c>
      <c r="Q162" s="82">
        <f t="shared" si="18"/>
        <v>234223517600</v>
      </c>
      <c r="R162" s="82">
        <f t="shared" ca="1" si="16"/>
        <v>-0.10124841997772205</v>
      </c>
      <c r="S162" s="102">
        <f ca="1">OFFSET($A162,,CHOOSE(Flexion!$A$26,COLUMN($M$9)-1,COLUMN($N$9)-1,COLUMN($P$9)-1,COLUMN($R$9)-1))</f>
        <v>-91600</v>
      </c>
    </row>
    <row r="163" spans="1:19" x14ac:dyDescent="0.2">
      <c r="A163" s="83">
        <f t="shared" si="14"/>
        <v>153</v>
      </c>
      <c r="B163" s="83">
        <f>MATCH(Tableau6[[#This Row],[x0]],Flexion!D$11:Z$11,1)</f>
        <v>5</v>
      </c>
      <c r="C163" s="83">
        <f>Tableau6[[#This Row],[N° pas]]*$A$2</f>
        <v>2295</v>
      </c>
      <c r="D163" s="101">
        <f>IF($B163=$B162,Tableau6[[#This Row],[x0]],INDEX(Flexion!D$11:Z$11,$B163))</f>
        <v>2295</v>
      </c>
      <c r="E163" s="83" t="str">
        <f>IF(B163=B162,"-",VALUE(INDEX(Flexion!D$10:Z$10,Tableau6[[#This Row],[Col.]])))</f>
        <v>-</v>
      </c>
      <c r="F163" s="83" t="str">
        <f>IF(E163="-","-",IF(INDEX(Flexion!D$12:Z$12,Tableau6[[#This Row],[Col.]])="","-",INDEX(Flexion!D$12:Z$12,Tableau6[[#This Row],[Col.]])))</f>
        <v>-</v>
      </c>
      <c r="G163" s="84">
        <f>IF(Tableau6[[#This Row],[Nœud]]&lt;&gt;"-",INDEX(Flexion!D$13:Z$13,Tableau6[[#This Row],[Col.]]),)</f>
        <v>0</v>
      </c>
      <c r="H163" s="83">
        <f>IF(Tableau6[[#This Row],[Appui]]&lt;&gt;"-",INDEX(Flexion!D$14:Z$14,Tableau6[[#This Row],[Col.]]),)</f>
        <v>0</v>
      </c>
      <c r="I163" s="92">
        <f>$I162+($D163-$D162)*(SUM($G$10:$G162,$H$10:$H162))</f>
        <v>-25625</v>
      </c>
      <c r="J163" s="84">
        <f>INDEX(Flexion!D$16:Z$16,Tableau6[[#This Row],[Col.]])*($D164-$D163)</f>
        <v>0</v>
      </c>
      <c r="K163" s="83">
        <f>IF(B163=B162,0,INDEX(Flexion!D$20:Z$20,Tableau6[[#This Row],[Col.]]))</f>
        <v>0</v>
      </c>
      <c r="L163" s="92">
        <f>$L162+($D163-$D162)*(SUM($J$10:$J162,$K$10:$K162)-$J162/2)</f>
        <v>-76775</v>
      </c>
      <c r="M163" s="84">
        <f>Tableau6[[#This Row],[Fr nod.]]+Tableau6[[#This Row],[Fr lin.]]</f>
        <v>0</v>
      </c>
      <c r="N163" s="92">
        <f>Tableau6[[#This Row],[Mt nod.]]+Tableau6[[#This Row],[Mt lin.]]</f>
        <v>-102400</v>
      </c>
      <c r="O163" s="82">
        <f t="shared" si="17"/>
        <v>337574125</v>
      </c>
      <c r="P163" s="82">
        <f t="shared" ca="1" si="15"/>
        <v>5.0043774352548039E-4</v>
      </c>
      <c r="Q163" s="82">
        <f t="shared" si="18"/>
        <v>239298041975</v>
      </c>
      <c r="R163" s="82">
        <f t="shared" ca="1" si="16"/>
        <v>-9.3711465353661927E-2</v>
      </c>
      <c r="S163" s="102">
        <f ca="1">OFFSET($A163,,CHOOSE(Flexion!$A$26,COLUMN($M$9)-1,COLUMN($N$9)-1,COLUMN($P$9)-1,COLUMN($R$9)-1))</f>
        <v>-102400</v>
      </c>
    </row>
    <row r="164" spans="1:19" x14ac:dyDescent="0.2">
      <c r="A164" s="83">
        <f t="shared" si="14"/>
        <v>154</v>
      </c>
      <c r="B164" s="83">
        <f>MATCH(Tableau6[[#This Row],[x0]],Flexion!D$11:Z$11,1)</f>
        <v>5</v>
      </c>
      <c r="C164" s="83">
        <f>Tableau6[[#This Row],[N° pas]]*$A$2</f>
        <v>2310</v>
      </c>
      <c r="D164" s="101">
        <f>IF($B164=$B163,Tableau6[[#This Row],[x0]],INDEX(Flexion!D$11:Z$11,$B164))</f>
        <v>2310</v>
      </c>
      <c r="E164" s="83" t="str">
        <f>IF(B164=B163,"-",VALUE(INDEX(Flexion!D$10:Z$10,Tableau6[[#This Row],[Col.]])))</f>
        <v>-</v>
      </c>
      <c r="F164" s="83" t="str">
        <f>IF(E164="-","-",IF(INDEX(Flexion!D$12:Z$12,Tableau6[[#This Row],[Col.]])="","-",INDEX(Flexion!D$12:Z$12,Tableau6[[#This Row],[Col.]])))</f>
        <v>-</v>
      </c>
      <c r="G164" s="84">
        <f>IF(Tableau6[[#This Row],[Nœud]]&lt;&gt;"-",INDEX(Flexion!D$13:Z$13,Tableau6[[#This Row],[Col.]]),)</f>
        <v>0</v>
      </c>
      <c r="H164" s="83">
        <f>IF(Tableau6[[#This Row],[Appui]]&lt;&gt;"-",INDEX(Flexion!D$14:Z$14,Tableau6[[#This Row],[Col.]]),)</f>
        <v>0</v>
      </c>
      <c r="I164" s="92">
        <f>$I163+($D164-$D163)*(SUM($G$10:$G163,$H$10:$H163))</f>
        <v>-23750</v>
      </c>
      <c r="J164" s="84">
        <f>INDEX(Flexion!D$16:Z$16,Tableau6[[#This Row],[Col.]])*($D165-$D164)</f>
        <v>0</v>
      </c>
      <c r="K164" s="83">
        <f>IF(B164=B163,0,INDEX(Flexion!D$20:Z$20,Tableau6[[#This Row],[Col.]]))</f>
        <v>0</v>
      </c>
      <c r="L164" s="92">
        <f>$L163+($D164-$D163)*(SUM($J$10:$J163,$K$10:$K163)-$J163/2)</f>
        <v>-89450</v>
      </c>
      <c r="M164" s="84">
        <f>Tableau6[[#This Row],[Fr nod.]]+Tableau6[[#This Row],[Fr lin.]]</f>
        <v>0</v>
      </c>
      <c r="N164" s="92">
        <f>Tableau6[[#This Row],[Mt nod.]]+Tableau6[[#This Row],[Mt lin.]]</f>
        <v>-113200</v>
      </c>
      <c r="O164" s="82">
        <f t="shared" si="17"/>
        <v>335957125</v>
      </c>
      <c r="P164" s="82">
        <f t="shared" ca="1" si="15"/>
        <v>4.959348195488723E-4</v>
      </c>
      <c r="Q164" s="82">
        <f t="shared" si="18"/>
        <v>244349526350</v>
      </c>
      <c r="R164" s="82">
        <f t="shared" ca="1" si="16"/>
        <v>-8.6238671130604239E-2</v>
      </c>
      <c r="S164" s="102">
        <f ca="1">OFFSET($A164,,CHOOSE(Flexion!$A$26,COLUMN($M$9)-1,COLUMN($N$9)-1,COLUMN($P$9)-1,COLUMN($R$9)-1))</f>
        <v>-113200</v>
      </c>
    </row>
    <row r="165" spans="1:19" x14ac:dyDescent="0.2">
      <c r="A165" s="83">
        <f t="shared" si="14"/>
        <v>155</v>
      </c>
      <c r="B165" s="83">
        <f>MATCH(Tableau6[[#This Row],[x0]],Flexion!D$11:Z$11,1)</f>
        <v>5</v>
      </c>
      <c r="C165" s="83">
        <f>Tableau6[[#This Row],[N° pas]]*$A$2</f>
        <v>2325</v>
      </c>
      <c r="D165" s="101">
        <f>IF($B165=$B164,Tableau6[[#This Row],[x0]],INDEX(Flexion!D$11:Z$11,$B165))</f>
        <v>2325</v>
      </c>
      <c r="E165" s="83" t="str">
        <f>IF(B165=B164,"-",VALUE(INDEX(Flexion!D$10:Z$10,Tableau6[[#This Row],[Col.]])))</f>
        <v>-</v>
      </c>
      <c r="F165" s="83" t="str">
        <f>IF(E165="-","-",IF(INDEX(Flexion!D$12:Z$12,Tableau6[[#This Row],[Col.]])="","-",INDEX(Flexion!D$12:Z$12,Tableau6[[#This Row],[Col.]])))</f>
        <v>-</v>
      </c>
      <c r="G165" s="84">
        <f>IF(Tableau6[[#This Row],[Nœud]]&lt;&gt;"-",INDEX(Flexion!D$13:Z$13,Tableau6[[#This Row],[Col.]]),)</f>
        <v>0</v>
      </c>
      <c r="H165" s="83">
        <f>IF(Tableau6[[#This Row],[Appui]]&lt;&gt;"-",INDEX(Flexion!D$14:Z$14,Tableau6[[#This Row],[Col.]]),)</f>
        <v>0</v>
      </c>
      <c r="I165" s="92">
        <f>$I164+($D165-$D164)*(SUM($G$10:$G164,$H$10:$H164))</f>
        <v>-21875</v>
      </c>
      <c r="J165" s="84">
        <f>INDEX(Flexion!D$16:Z$16,Tableau6[[#This Row],[Col.]])*($D166-$D165)</f>
        <v>0</v>
      </c>
      <c r="K165" s="83">
        <f>IF(B165=B164,0,INDEX(Flexion!D$20:Z$20,Tableau6[[#This Row],[Col.]]))</f>
        <v>0</v>
      </c>
      <c r="L165" s="92">
        <f>$L164+($D165-$D164)*(SUM($J$10:$J164,$K$10:$K164)-$J164/2)</f>
        <v>-102125</v>
      </c>
      <c r="M165" s="84">
        <f>Tableau6[[#This Row],[Fr nod.]]+Tableau6[[#This Row],[Fr lin.]]</f>
        <v>0</v>
      </c>
      <c r="N165" s="92">
        <f>Tableau6[[#This Row],[Mt nod.]]+Tableau6[[#This Row],[Mt lin.]]</f>
        <v>-124000</v>
      </c>
      <c r="O165" s="82">
        <f t="shared" si="17"/>
        <v>334178125</v>
      </c>
      <c r="P165" s="82">
        <f t="shared" ca="1" si="15"/>
        <v>4.9098076775271515E-4</v>
      </c>
      <c r="Q165" s="82">
        <f t="shared" si="18"/>
        <v>249375540725</v>
      </c>
      <c r="R165" s="82">
        <f t="shared" ca="1" si="16"/>
        <v>-7.8836804225842272E-2</v>
      </c>
      <c r="S165" s="102">
        <f ca="1">OFFSET($A165,,CHOOSE(Flexion!$A$26,COLUMN($M$9)-1,COLUMN($N$9)-1,COLUMN($P$9)-1,COLUMN($R$9)-1))</f>
        <v>-124000</v>
      </c>
    </row>
    <row r="166" spans="1:19" x14ac:dyDescent="0.2">
      <c r="A166" s="83">
        <f t="shared" si="14"/>
        <v>156</v>
      </c>
      <c r="B166" s="83">
        <f>MATCH(Tableau6[[#This Row],[x0]],Flexion!D$11:Z$11,1)</f>
        <v>5</v>
      </c>
      <c r="C166" s="83">
        <f>Tableau6[[#This Row],[N° pas]]*$A$2</f>
        <v>2340</v>
      </c>
      <c r="D166" s="101">
        <f>IF($B166=$B165,Tableau6[[#This Row],[x0]],INDEX(Flexion!D$11:Z$11,$B166))</f>
        <v>2340</v>
      </c>
      <c r="E166" s="83" t="str">
        <f>IF(B166=B165,"-",VALUE(INDEX(Flexion!D$10:Z$10,Tableau6[[#This Row],[Col.]])))</f>
        <v>-</v>
      </c>
      <c r="F166" s="83" t="str">
        <f>IF(E166="-","-",IF(INDEX(Flexion!D$12:Z$12,Tableau6[[#This Row],[Col.]])="","-",INDEX(Flexion!D$12:Z$12,Tableau6[[#This Row],[Col.]])))</f>
        <v>-</v>
      </c>
      <c r="G166" s="84">
        <f>IF(Tableau6[[#This Row],[Nœud]]&lt;&gt;"-",INDEX(Flexion!D$13:Z$13,Tableau6[[#This Row],[Col.]]),)</f>
        <v>0</v>
      </c>
      <c r="H166" s="83">
        <f>IF(Tableau6[[#This Row],[Appui]]&lt;&gt;"-",INDEX(Flexion!D$14:Z$14,Tableau6[[#This Row],[Col.]]),)</f>
        <v>0</v>
      </c>
      <c r="I166" s="92">
        <f>$I165+($D166-$D165)*(SUM($G$10:$G165,$H$10:$H165))</f>
        <v>-20000</v>
      </c>
      <c r="J166" s="84">
        <f>INDEX(Flexion!D$16:Z$16,Tableau6[[#This Row],[Col.]])*($D167-$D166)</f>
        <v>0</v>
      </c>
      <c r="K166" s="83">
        <f>IF(B166=B165,0,INDEX(Flexion!D$20:Z$20,Tableau6[[#This Row],[Col.]]))</f>
        <v>0</v>
      </c>
      <c r="L166" s="92">
        <f>$L165+($D166-$D165)*(SUM($J$10:$J165,$K$10:$K165)-$J165/2)</f>
        <v>-114800</v>
      </c>
      <c r="M166" s="84">
        <f>Tableau6[[#This Row],[Fr nod.]]+Tableau6[[#This Row],[Fr lin.]]</f>
        <v>0</v>
      </c>
      <c r="N166" s="92">
        <f>Tableau6[[#This Row],[Mt nod.]]+Tableau6[[#This Row],[Mt lin.]]</f>
        <v>-134800</v>
      </c>
      <c r="O166" s="82">
        <f t="shared" si="17"/>
        <v>332237125</v>
      </c>
      <c r="P166" s="82">
        <f t="shared" ca="1" si="15"/>
        <v>4.8557558813700923E-4</v>
      </c>
      <c r="Q166" s="82">
        <f t="shared" si="18"/>
        <v>254373655100</v>
      </c>
      <c r="R166" s="82">
        <f t="shared" ca="1" si="16"/>
        <v>-7.1512631556669537E-2</v>
      </c>
      <c r="S166" s="102">
        <f ca="1">OFFSET($A166,,CHOOSE(Flexion!$A$26,COLUMN($M$9)-1,COLUMN($N$9)-1,COLUMN($P$9)-1,COLUMN($R$9)-1))</f>
        <v>-134800</v>
      </c>
    </row>
    <row r="167" spans="1:19" x14ac:dyDescent="0.2">
      <c r="A167" s="83">
        <f t="shared" si="14"/>
        <v>157</v>
      </c>
      <c r="B167" s="83">
        <f>MATCH(Tableau6[[#This Row],[x0]],Flexion!D$11:Z$11,1)</f>
        <v>5</v>
      </c>
      <c r="C167" s="83">
        <f>Tableau6[[#This Row],[N° pas]]*$A$2</f>
        <v>2355</v>
      </c>
      <c r="D167" s="101">
        <f>IF($B167=$B166,Tableau6[[#This Row],[x0]],INDEX(Flexion!D$11:Z$11,$B167))</f>
        <v>2355</v>
      </c>
      <c r="E167" s="83" t="str">
        <f>IF(B167=B166,"-",VALUE(INDEX(Flexion!D$10:Z$10,Tableau6[[#This Row],[Col.]])))</f>
        <v>-</v>
      </c>
      <c r="F167" s="83" t="str">
        <f>IF(E167="-","-",IF(INDEX(Flexion!D$12:Z$12,Tableau6[[#This Row],[Col.]])="","-",INDEX(Flexion!D$12:Z$12,Tableau6[[#This Row],[Col.]])))</f>
        <v>-</v>
      </c>
      <c r="G167" s="84">
        <f>IF(Tableau6[[#This Row],[Nœud]]&lt;&gt;"-",INDEX(Flexion!D$13:Z$13,Tableau6[[#This Row],[Col.]]),)</f>
        <v>0</v>
      </c>
      <c r="H167" s="83">
        <f>IF(Tableau6[[#This Row],[Appui]]&lt;&gt;"-",INDEX(Flexion!D$14:Z$14,Tableau6[[#This Row],[Col.]]),)</f>
        <v>0</v>
      </c>
      <c r="I167" s="92">
        <f>$I166+($D167-$D166)*(SUM($G$10:$G166,$H$10:$H166))</f>
        <v>-18125</v>
      </c>
      <c r="J167" s="84">
        <f>INDEX(Flexion!D$16:Z$16,Tableau6[[#This Row],[Col.]])*($D168-$D167)</f>
        <v>0</v>
      </c>
      <c r="K167" s="83">
        <f>IF(B167=B166,0,INDEX(Flexion!D$20:Z$20,Tableau6[[#This Row],[Col.]]))</f>
        <v>0</v>
      </c>
      <c r="L167" s="92">
        <f>$L166+($D167-$D166)*(SUM($J$10:$J166,$K$10:$K166)-$J166/2)</f>
        <v>-127475</v>
      </c>
      <c r="M167" s="84">
        <f>Tableau6[[#This Row],[Fr nod.]]+Tableau6[[#This Row],[Fr lin.]]</f>
        <v>0</v>
      </c>
      <c r="N167" s="92">
        <f>Tableau6[[#This Row],[Mt nod.]]+Tableau6[[#This Row],[Mt lin.]]</f>
        <v>-145600</v>
      </c>
      <c r="O167" s="82">
        <f t="shared" si="17"/>
        <v>330134125</v>
      </c>
      <c r="P167" s="82">
        <f t="shared" ca="1" si="15"/>
        <v>4.7971928070175441E-4</v>
      </c>
      <c r="Q167" s="82">
        <f t="shared" si="18"/>
        <v>259341439475</v>
      </c>
      <c r="R167" s="82">
        <f t="shared" ca="1" si="16"/>
        <v>-6.4272920040378767E-2</v>
      </c>
      <c r="S167" s="102">
        <f ca="1">OFFSET($A167,,CHOOSE(Flexion!$A$26,COLUMN($M$9)-1,COLUMN($N$9)-1,COLUMN($P$9)-1,COLUMN($R$9)-1))</f>
        <v>-145600</v>
      </c>
    </row>
    <row r="168" spans="1:19" x14ac:dyDescent="0.2">
      <c r="A168" s="83">
        <f t="shared" si="14"/>
        <v>158</v>
      </c>
      <c r="B168" s="83">
        <f>MATCH(Tableau6[[#This Row],[x0]],Flexion!D$11:Z$11,1)</f>
        <v>5</v>
      </c>
      <c r="C168" s="83">
        <f>Tableau6[[#This Row],[N° pas]]*$A$2</f>
        <v>2370</v>
      </c>
      <c r="D168" s="101">
        <f>IF($B168=$B167,Tableau6[[#This Row],[x0]],INDEX(Flexion!D$11:Z$11,$B168))</f>
        <v>2370</v>
      </c>
      <c r="E168" s="83" t="str">
        <f>IF(B168=B167,"-",VALUE(INDEX(Flexion!D$10:Z$10,Tableau6[[#This Row],[Col.]])))</f>
        <v>-</v>
      </c>
      <c r="F168" s="83" t="str">
        <f>IF(E168="-","-",IF(INDEX(Flexion!D$12:Z$12,Tableau6[[#This Row],[Col.]])="","-",INDEX(Flexion!D$12:Z$12,Tableau6[[#This Row],[Col.]])))</f>
        <v>-</v>
      </c>
      <c r="G168" s="84">
        <f>IF(Tableau6[[#This Row],[Nœud]]&lt;&gt;"-",INDEX(Flexion!D$13:Z$13,Tableau6[[#This Row],[Col.]]),)</f>
        <v>0</v>
      </c>
      <c r="H168" s="83">
        <f>IF(Tableau6[[#This Row],[Appui]]&lt;&gt;"-",INDEX(Flexion!D$14:Z$14,Tableau6[[#This Row],[Col.]]),)</f>
        <v>0</v>
      </c>
      <c r="I168" s="92">
        <f>$I167+($D168-$D167)*(SUM($G$10:$G167,$H$10:$H167))</f>
        <v>-16250</v>
      </c>
      <c r="J168" s="84">
        <f>INDEX(Flexion!D$16:Z$16,Tableau6[[#This Row],[Col.]])*($D169-$D168)</f>
        <v>0</v>
      </c>
      <c r="K168" s="83">
        <f>IF(B168=B167,0,INDEX(Flexion!D$20:Z$20,Tableau6[[#This Row],[Col.]]))</f>
        <v>0</v>
      </c>
      <c r="L168" s="92">
        <f>$L167+($D168-$D167)*(SUM($J$10:$J167,$K$10:$K167)-$J167/2)</f>
        <v>-140150</v>
      </c>
      <c r="M168" s="84">
        <f>Tableau6[[#This Row],[Fr nod.]]+Tableau6[[#This Row],[Fr lin.]]</f>
        <v>0</v>
      </c>
      <c r="N168" s="92">
        <f>Tableau6[[#This Row],[Mt nod.]]+Tableau6[[#This Row],[Mt lin.]]</f>
        <v>-156400</v>
      </c>
      <c r="O168" s="82">
        <f t="shared" si="17"/>
        <v>327869125</v>
      </c>
      <c r="P168" s="82">
        <f t="shared" ca="1" si="15"/>
        <v>4.7341184544695075E-4</v>
      </c>
      <c r="Q168" s="82">
        <f t="shared" si="18"/>
        <v>264276463850</v>
      </c>
      <c r="R168" s="82">
        <f t="shared" ca="1" si="16"/>
        <v>-5.7124436594263472E-2</v>
      </c>
      <c r="S168" s="102">
        <f ca="1">OFFSET($A168,,CHOOSE(Flexion!$A$26,COLUMN($M$9)-1,COLUMN($N$9)-1,COLUMN($P$9)-1,COLUMN($R$9)-1))</f>
        <v>-156400</v>
      </c>
    </row>
    <row r="169" spans="1:19" x14ac:dyDescent="0.2">
      <c r="A169" s="83">
        <f t="shared" si="14"/>
        <v>159</v>
      </c>
      <c r="B169" s="83">
        <f>MATCH(Tableau6[[#This Row],[x0]],Flexion!D$11:Z$11,1)</f>
        <v>5</v>
      </c>
      <c r="C169" s="83">
        <f>Tableau6[[#This Row],[N° pas]]*$A$2</f>
        <v>2385</v>
      </c>
      <c r="D169" s="101">
        <f>IF($B169=$B168,Tableau6[[#This Row],[x0]],INDEX(Flexion!D$11:Z$11,$B169))</f>
        <v>2385</v>
      </c>
      <c r="E169" s="83" t="str">
        <f>IF(B169=B168,"-",VALUE(INDEX(Flexion!D$10:Z$10,Tableau6[[#This Row],[Col.]])))</f>
        <v>-</v>
      </c>
      <c r="F169" s="83" t="str">
        <f>IF(E169="-","-",IF(INDEX(Flexion!D$12:Z$12,Tableau6[[#This Row],[Col.]])="","-",INDEX(Flexion!D$12:Z$12,Tableau6[[#This Row],[Col.]])))</f>
        <v>-</v>
      </c>
      <c r="G169" s="84">
        <f>IF(Tableau6[[#This Row],[Nœud]]&lt;&gt;"-",INDEX(Flexion!D$13:Z$13,Tableau6[[#This Row],[Col.]]),)</f>
        <v>0</v>
      </c>
      <c r="H169" s="83">
        <f>IF(Tableau6[[#This Row],[Appui]]&lt;&gt;"-",INDEX(Flexion!D$14:Z$14,Tableau6[[#This Row],[Col.]]),)</f>
        <v>0</v>
      </c>
      <c r="I169" s="92">
        <f>$I168+($D169-$D168)*(SUM($G$10:$G168,$H$10:$H168))</f>
        <v>-14375</v>
      </c>
      <c r="J169" s="84">
        <f>INDEX(Flexion!D$16:Z$16,Tableau6[[#This Row],[Col.]])*($D170-$D169)</f>
        <v>0</v>
      </c>
      <c r="K169" s="83">
        <f>IF(B169=B168,0,INDEX(Flexion!D$20:Z$20,Tableau6[[#This Row],[Col.]]))</f>
        <v>0</v>
      </c>
      <c r="L169" s="92">
        <f>$L168+($D169-$D168)*(SUM($J$10:$J168,$K$10:$K168)-$J168/2)</f>
        <v>-152825</v>
      </c>
      <c r="M169" s="84">
        <f>Tableau6[[#This Row],[Fr nod.]]+Tableau6[[#This Row],[Fr lin.]]</f>
        <v>0</v>
      </c>
      <c r="N169" s="92">
        <f>Tableau6[[#This Row],[Mt nod.]]+Tableau6[[#This Row],[Mt lin.]]</f>
        <v>-167200</v>
      </c>
      <c r="O169" s="82">
        <f t="shared" si="17"/>
        <v>325442125</v>
      </c>
      <c r="P169" s="82">
        <f t="shared" ca="1" si="15"/>
        <v>4.6665328237259816E-4</v>
      </c>
      <c r="Q169" s="82">
        <f t="shared" si="18"/>
        <v>269176298225</v>
      </c>
      <c r="R169" s="82">
        <f t="shared" ca="1" si="16"/>
        <v>-5.007394813561683E-2</v>
      </c>
      <c r="S169" s="102">
        <f ca="1">OFFSET($A169,,CHOOSE(Flexion!$A$26,COLUMN($M$9)-1,COLUMN($N$9)-1,COLUMN($P$9)-1,COLUMN($R$9)-1))</f>
        <v>-167200</v>
      </c>
    </row>
    <row r="170" spans="1:19" x14ac:dyDescent="0.2">
      <c r="A170" s="83">
        <f t="shared" si="14"/>
        <v>160</v>
      </c>
      <c r="B170" s="83">
        <f>MATCH(Tableau6[[#This Row],[x0]],Flexion!D$11:Z$11,1)</f>
        <v>5</v>
      </c>
      <c r="C170" s="83">
        <f>Tableau6[[#This Row],[N° pas]]*$A$2</f>
        <v>2400</v>
      </c>
      <c r="D170" s="101">
        <f>IF($B170=$B169,Tableau6[[#This Row],[x0]],INDEX(Flexion!D$11:Z$11,$B170))</f>
        <v>2400</v>
      </c>
      <c r="E170" s="83" t="str">
        <f>IF(B170=B169,"-",VALUE(INDEX(Flexion!D$10:Z$10,Tableau6[[#This Row],[Col.]])))</f>
        <v>-</v>
      </c>
      <c r="F170" s="83" t="str">
        <f>IF(E170="-","-",IF(INDEX(Flexion!D$12:Z$12,Tableau6[[#This Row],[Col.]])="","-",INDEX(Flexion!D$12:Z$12,Tableau6[[#This Row],[Col.]])))</f>
        <v>-</v>
      </c>
      <c r="G170" s="84">
        <f>IF(Tableau6[[#This Row],[Nœud]]&lt;&gt;"-",INDEX(Flexion!D$13:Z$13,Tableau6[[#This Row],[Col.]]),)</f>
        <v>0</v>
      </c>
      <c r="H170" s="83">
        <f>IF(Tableau6[[#This Row],[Appui]]&lt;&gt;"-",INDEX(Flexion!D$14:Z$14,Tableau6[[#This Row],[Col.]]),)</f>
        <v>0</v>
      </c>
      <c r="I170" s="92">
        <f>$I169+($D170-$D169)*(SUM($G$10:$G169,$H$10:$H169))</f>
        <v>-12500</v>
      </c>
      <c r="J170" s="84">
        <f>INDEX(Flexion!D$16:Z$16,Tableau6[[#This Row],[Col.]])*($D171-$D170)</f>
        <v>0</v>
      </c>
      <c r="K170" s="83">
        <f>IF(B170=B169,0,INDEX(Flexion!D$20:Z$20,Tableau6[[#This Row],[Col.]]))</f>
        <v>0</v>
      </c>
      <c r="L170" s="92">
        <f>$L169+($D170-$D169)*(SUM($J$10:$J169,$K$10:$K169)-$J169/2)</f>
        <v>-165500</v>
      </c>
      <c r="M170" s="84">
        <f>Tableau6[[#This Row],[Fr nod.]]+Tableau6[[#This Row],[Fr lin.]]</f>
        <v>0</v>
      </c>
      <c r="N170" s="92">
        <f>Tableau6[[#This Row],[Mt nod.]]+Tableau6[[#This Row],[Mt lin.]]</f>
        <v>-178000</v>
      </c>
      <c r="O170" s="82">
        <f t="shared" si="17"/>
        <v>322853125</v>
      </c>
      <c r="P170" s="82">
        <f t="shared" ca="1" si="15"/>
        <v>4.5944359147869672E-4</v>
      </c>
      <c r="Q170" s="82">
        <f t="shared" si="18"/>
        <v>274038512600</v>
      </c>
      <c r="R170" s="82">
        <f t="shared" ca="1" si="16"/>
        <v>-4.3128221581732129E-2</v>
      </c>
      <c r="S170" s="102">
        <f ca="1">OFFSET($A170,,CHOOSE(Flexion!$A$26,COLUMN($M$9)-1,COLUMN($N$9)-1,COLUMN($P$9)-1,COLUMN($R$9)-1))</f>
        <v>-178000</v>
      </c>
    </row>
    <row r="171" spans="1:19" x14ac:dyDescent="0.2">
      <c r="A171" s="83">
        <f t="shared" si="14"/>
        <v>161</v>
      </c>
      <c r="B171" s="83">
        <f>MATCH(Tableau6[[#This Row],[x0]],Flexion!D$11:Z$11,1)</f>
        <v>5</v>
      </c>
      <c r="C171" s="83">
        <f>Tableau6[[#This Row],[N° pas]]*$A$2</f>
        <v>2415</v>
      </c>
      <c r="D171" s="101">
        <f>IF($B171=$B170,Tableau6[[#This Row],[x0]],INDEX(Flexion!D$11:Z$11,$B171))</f>
        <v>2415</v>
      </c>
      <c r="E171" s="83" t="str">
        <f>IF(B171=B170,"-",VALUE(INDEX(Flexion!D$10:Z$10,Tableau6[[#This Row],[Col.]])))</f>
        <v>-</v>
      </c>
      <c r="F171" s="83" t="str">
        <f>IF(E171="-","-",IF(INDEX(Flexion!D$12:Z$12,Tableau6[[#This Row],[Col.]])="","-",INDEX(Flexion!D$12:Z$12,Tableau6[[#This Row],[Col.]])))</f>
        <v>-</v>
      </c>
      <c r="G171" s="84">
        <f>IF(Tableau6[[#This Row],[Nœud]]&lt;&gt;"-",INDEX(Flexion!D$13:Z$13,Tableau6[[#This Row],[Col.]]),)</f>
        <v>0</v>
      </c>
      <c r="H171" s="83">
        <f>IF(Tableau6[[#This Row],[Appui]]&lt;&gt;"-",INDEX(Flexion!D$14:Z$14,Tableau6[[#This Row],[Col.]]),)</f>
        <v>0</v>
      </c>
      <c r="I171" s="92">
        <f>$I170+($D171-$D170)*(SUM($G$10:$G170,$H$10:$H170))</f>
        <v>-10625</v>
      </c>
      <c r="J171" s="84">
        <f>INDEX(Flexion!D$16:Z$16,Tableau6[[#This Row],[Col.]])*($D172-$D171)</f>
        <v>0</v>
      </c>
      <c r="K171" s="83">
        <f>IF(B171=B170,0,INDEX(Flexion!D$20:Z$20,Tableau6[[#This Row],[Col.]]))</f>
        <v>0</v>
      </c>
      <c r="L171" s="92">
        <f>$L170+($D171-$D170)*(SUM($J$10:$J170,$K$10:$K170)-$J170/2)</f>
        <v>-178175</v>
      </c>
      <c r="M171" s="84">
        <f>Tableau6[[#This Row],[Fr nod.]]+Tableau6[[#This Row],[Fr lin.]]</f>
        <v>0</v>
      </c>
      <c r="N171" s="92">
        <f>Tableau6[[#This Row],[Mt nod.]]+Tableau6[[#This Row],[Mt lin.]]</f>
        <v>-188800</v>
      </c>
      <c r="O171" s="82">
        <f t="shared" ref="O171:O202" si="19">(D171-D170)*(N171+N170)/2+O170</f>
        <v>320102125</v>
      </c>
      <c r="P171" s="82">
        <f t="shared" ca="1" si="15"/>
        <v>4.5178277276524645E-4</v>
      </c>
      <c r="Q171" s="82">
        <f t="shared" ref="Q171:Q202" si="20">Q170+((D171-D170)*(O171+O170)/2)</f>
        <v>278860676975</v>
      </c>
      <c r="R171" s="82">
        <f t="shared" ca="1" si="16"/>
        <v>-3.6294023849902546E-2</v>
      </c>
      <c r="S171" s="102">
        <f ca="1">OFFSET($A171,,CHOOSE(Flexion!$A$26,COLUMN($M$9)-1,COLUMN($N$9)-1,COLUMN($P$9)-1,COLUMN($R$9)-1))</f>
        <v>-188800</v>
      </c>
    </row>
    <row r="172" spans="1:19" x14ac:dyDescent="0.2">
      <c r="A172" s="83">
        <f t="shared" si="14"/>
        <v>162</v>
      </c>
      <c r="B172" s="83">
        <f>MATCH(Tableau6[[#This Row],[x0]],Flexion!D$11:Z$11,1)</f>
        <v>5</v>
      </c>
      <c r="C172" s="83">
        <f>Tableau6[[#This Row],[N° pas]]*$A$2</f>
        <v>2430</v>
      </c>
      <c r="D172" s="101">
        <f>IF($B172=$B171,Tableau6[[#This Row],[x0]],INDEX(Flexion!D$11:Z$11,$B172))</f>
        <v>2430</v>
      </c>
      <c r="E172" s="83" t="str">
        <f>IF(B172=B171,"-",VALUE(INDEX(Flexion!D$10:Z$10,Tableau6[[#This Row],[Col.]])))</f>
        <v>-</v>
      </c>
      <c r="F172" s="83" t="str">
        <f>IF(E172="-","-",IF(INDEX(Flexion!D$12:Z$12,Tableau6[[#This Row],[Col.]])="","-",INDEX(Flexion!D$12:Z$12,Tableau6[[#This Row],[Col.]])))</f>
        <v>-</v>
      </c>
      <c r="G172" s="84">
        <f>IF(Tableau6[[#This Row],[Nœud]]&lt;&gt;"-",INDEX(Flexion!D$13:Z$13,Tableau6[[#This Row],[Col.]]),)</f>
        <v>0</v>
      </c>
      <c r="H172" s="83">
        <f>IF(Tableau6[[#This Row],[Appui]]&lt;&gt;"-",INDEX(Flexion!D$14:Z$14,Tableau6[[#This Row],[Col.]]),)</f>
        <v>0</v>
      </c>
      <c r="I172" s="92">
        <f>$I171+($D172-$D171)*(SUM($G$10:$G171,$H$10:$H171))</f>
        <v>-8750</v>
      </c>
      <c r="J172" s="84">
        <f>INDEX(Flexion!D$16:Z$16,Tableau6[[#This Row],[Col.]])*($D173-$D172)</f>
        <v>0</v>
      </c>
      <c r="K172" s="83">
        <f>IF(B172=B171,0,INDEX(Flexion!D$20:Z$20,Tableau6[[#This Row],[Col.]]))</f>
        <v>0</v>
      </c>
      <c r="L172" s="92">
        <f>$L171+($D172-$D171)*(SUM($J$10:$J171,$K$10:$K171)-$J171/2)</f>
        <v>-190850</v>
      </c>
      <c r="M172" s="84">
        <f>Tableau6[[#This Row],[Fr nod.]]+Tableau6[[#This Row],[Fr lin.]]</f>
        <v>0</v>
      </c>
      <c r="N172" s="92">
        <f>Tableau6[[#This Row],[Mt nod.]]+Tableau6[[#This Row],[Mt lin.]]</f>
        <v>-199600</v>
      </c>
      <c r="O172" s="82">
        <f t="shared" si="19"/>
        <v>317189125</v>
      </c>
      <c r="P172" s="82">
        <f t="shared" ca="1" si="15"/>
        <v>4.4367082623224735E-4</v>
      </c>
      <c r="Q172" s="82">
        <f t="shared" si="20"/>
        <v>283640361350</v>
      </c>
      <c r="R172" s="82">
        <f t="shared" ca="1" si="16"/>
        <v>-2.9578121857421258E-2</v>
      </c>
      <c r="S172" s="102">
        <f ca="1">OFFSET($A172,,CHOOSE(Flexion!$A$26,COLUMN($M$9)-1,COLUMN($N$9)-1,COLUMN($P$9)-1,COLUMN($R$9)-1))</f>
        <v>-199600</v>
      </c>
    </row>
    <row r="173" spans="1:19" x14ac:dyDescent="0.2">
      <c r="A173" s="83">
        <f t="shared" si="14"/>
        <v>163</v>
      </c>
      <c r="B173" s="83">
        <f>MATCH(Tableau6[[#This Row],[x0]],Flexion!D$11:Z$11,1)</f>
        <v>5</v>
      </c>
      <c r="C173" s="83">
        <f>Tableau6[[#This Row],[N° pas]]*$A$2</f>
        <v>2445</v>
      </c>
      <c r="D173" s="101">
        <f>IF($B173=$B172,Tableau6[[#This Row],[x0]],INDEX(Flexion!D$11:Z$11,$B173))</f>
        <v>2445</v>
      </c>
      <c r="E173" s="83" t="str">
        <f>IF(B173=B172,"-",VALUE(INDEX(Flexion!D$10:Z$10,Tableau6[[#This Row],[Col.]])))</f>
        <v>-</v>
      </c>
      <c r="F173" s="83" t="str">
        <f>IF(E173="-","-",IF(INDEX(Flexion!D$12:Z$12,Tableau6[[#This Row],[Col.]])="","-",INDEX(Flexion!D$12:Z$12,Tableau6[[#This Row],[Col.]])))</f>
        <v>-</v>
      </c>
      <c r="G173" s="84">
        <f>IF(Tableau6[[#This Row],[Nœud]]&lt;&gt;"-",INDEX(Flexion!D$13:Z$13,Tableau6[[#This Row],[Col.]]),)</f>
        <v>0</v>
      </c>
      <c r="H173" s="83">
        <f>IF(Tableau6[[#This Row],[Appui]]&lt;&gt;"-",INDEX(Flexion!D$14:Z$14,Tableau6[[#This Row],[Col.]]),)</f>
        <v>0</v>
      </c>
      <c r="I173" s="92">
        <f>$I172+($D173-$D172)*(SUM($G$10:$G172,$H$10:$H172))</f>
        <v>-6875</v>
      </c>
      <c r="J173" s="84">
        <f>INDEX(Flexion!D$16:Z$16,Tableau6[[#This Row],[Col.]])*($D174-$D173)</f>
        <v>0</v>
      </c>
      <c r="K173" s="83">
        <f>IF(B173=B172,0,INDEX(Flexion!D$20:Z$20,Tableau6[[#This Row],[Col.]]))</f>
        <v>0</v>
      </c>
      <c r="L173" s="92">
        <f>$L172+($D173-$D172)*(SUM($J$10:$J172,$K$10:$K172)-$J172/2)</f>
        <v>-203525</v>
      </c>
      <c r="M173" s="84">
        <f>Tableau6[[#This Row],[Fr nod.]]+Tableau6[[#This Row],[Fr lin.]]</f>
        <v>0</v>
      </c>
      <c r="N173" s="92">
        <f>Tableau6[[#This Row],[Mt nod.]]+Tableau6[[#This Row],[Mt lin.]]</f>
        <v>-210400</v>
      </c>
      <c r="O173" s="82">
        <f t="shared" si="19"/>
        <v>314114125</v>
      </c>
      <c r="P173" s="82">
        <f t="shared" ca="1" si="15"/>
        <v>4.351077518796993E-4</v>
      </c>
      <c r="Q173" s="82">
        <f t="shared" si="20"/>
        <v>288375135725</v>
      </c>
      <c r="R173" s="82">
        <f t="shared" ca="1" si="16"/>
        <v>-2.2987282521581665E-2</v>
      </c>
      <c r="S173" s="102">
        <f ca="1">OFFSET($A173,,CHOOSE(Flexion!$A$26,COLUMN($M$9)-1,COLUMN($N$9)-1,COLUMN($P$9)-1,COLUMN($R$9)-1))</f>
        <v>-210400</v>
      </c>
    </row>
    <row r="174" spans="1:19" x14ac:dyDescent="0.2">
      <c r="A174" s="83">
        <f t="shared" si="14"/>
        <v>164</v>
      </c>
      <c r="B174" s="83">
        <f>MATCH(Tableau6[[#This Row],[x0]],Flexion!D$11:Z$11,1)</f>
        <v>5</v>
      </c>
      <c r="C174" s="83">
        <f>Tableau6[[#This Row],[N° pas]]*$A$2</f>
        <v>2460</v>
      </c>
      <c r="D174" s="101">
        <f>IF($B174=$B173,Tableau6[[#This Row],[x0]],INDEX(Flexion!D$11:Z$11,$B174))</f>
        <v>2460</v>
      </c>
      <c r="E174" s="83" t="str">
        <f>IF(B174=B173,"-",VALUE(INDEX(Flexion!D$10:Z$10,Tableau6[[#This Row],[Col.]])))</f>
        <v>-</v>
      </c>
      <c r="F174" s="83" t="str">
        <f>IF(E174="-","-",IF(INDEX(Flexion!D$12:Z$12,Tableau6[[#This Row],[Col.]])="","-",INDEX(Flexion!D$12:Z$12,Tableau6[[#This Row],[Col.]])))</f>
        <v>-</v>
      </c>
      <c r="G174" s="84">
        <f>IF(Tableau6[[#This Row],[Nœud]]&lt;&gt;"-",INDEX(Flexion!D$13:Z$13,Tableau6[[#This Row],[Col.]]),)</f>
        <v>0</v>
      </c>
      <c r="H174" s="83">
        <f>IF(Tableau6[[#This Row],[Appui]]&lt;&gt;"-",INDEX(Flexion!D$14:Z$14,Tableau6[[#This Row],[Col.]]),)</f>
        <v>0</v>
      </c>
      <c r="I174" s="92">
        <f>$I173+($D174-$D173)*(SUM($G$10:$G173,$H$10:$H173))</f>
        <v>-5000</v>
      </c>
      <c r="J174" s="84">
        <f>INDEX(Flexion!D$16:Z$16,Tableau6[[#This Row],[Col.]])*($D175-$D174)</f>
        <v>0</v>
      </c>
      <c r="K174" s="83">
        <f>IF(B174=B173,0,INDEX(Flexion!D$20:Z$20,Tableau6[[#This Row],[Col.]]))</f>
        <v>0</v>
      </c>
      <c r="L174" s="92">
        <f>$L173+($D174-$D173)*(SUM($J$10:$J173,$K$10:$K173)-$J173/2)</f>
        <v>-216200</v>
      </c>
      <c r="M174" s="84">
        <f>Tableau6[[#This Row],[Fr nod.]]+Tableau6[[#This Row],[Fr lin.]]</f>
        <v>0</v>
      </c>
      <c r="N174" s="92">
        <f>Tableau6[[#This Row],[Mt nod.]]+Tableau6[[#This Row],[Mt lin.]]</f>
        <v>-221200</v>
      </c>
      <c r="O174" s="82">
        <f t="shared" si="19"/>
        <v>310877125</v>
      </c>
      <c r="P174" s="82">
        <f t="shared" ca="1" si="15"/>
        <v>4.2609354970760241E-4</v>
      </c>
      <c r="Q174" s="82">
        <f t="shared" si="20"/>
        <v>293062570100</v>
      </c>
      <c r="R174" s="82">
        <f t="shared" ca="1" si="16"/>
        <v>-1.6528272759676943E-2</v>
      </c>
      <c r="S174" s="102">
        <f ca="1">OFFSET($A174,,CHOOSE(Flexion!$A$26,COLUMN($M$9)-1,COLUMN($N$9)-1,COLUMN($P$9)-1,COLUMN($R$9)-1))</f>
        <v>-221200</v>
      </c>
    </row>
    <row r="175" spans="1:19" x14ac:dyDescent="0.2">
      <c r="A175" s="83">
        <f t="shared" si="14"/>
        <v>165</v>
      </c>
      <c r="B175" s="83">
        <f>MATCH(Tableau6[[#This Row],[x0]],Flexion!D$11:Z$11,1)</f>
        <v>5</v>
      </c>
      <c r="C175" s="83">
        <f>Tableau6[[#This Row],[N° pas]]*$A$2</f>
        <v>2475</v>
      </c>
      <c r="D175" s="101">
        <f>IF($B175=$B174,Tableau6[[#This Row],[x0]],INDEX(Flexion!D$11:Z$11,$B175))</f>
        <v>2475</v>
      </c>
      <c r="E175" s="83" t="str">
        <f>IF(B175=B174,"-",VALUE(INDEX(Flexion!D$10:Z$10,Tableau6[[#This Row],[Col.]])))</f>
        <v>-</v>
      </c>
      <c r="F175" s="83" t="str">
        <f>IF(E175="-","-",IF(INDEX(Flexion!D$12:Z$12,Tableau6[[#This Row],[Col.]])="","-",INDEX(Flexion!D$12:Z$12,Tableau6[[#This Row],[Col.]])))</f>
        <v>-</v>
      </c>
      <c r="G175" s="84">
        <f>IF(Tableau6[[#This Row],[Nœud]]&lt;&gt;"-",INDEX(Flexion!D$13:Z$13,Tableau6[[#This Row],[Col.]]),)</f>
        <v>0</v>
      </c>
      <c r="H175" s="83">
        <f>IF(Tableau6[[#This Row],[Appui]]&lt;&gt;"-",INDEX(Flexion!D$14:Z$14,Tableau6[[#This Row],[Col.]]),)</f>
        <v>0</v>
      </c>
      <c r="I175" s="92">
        <f>$I174+($D175-$D174)*(SUM($G$10:$G174,$H$10:$H174))</f>
        <v>-3125</v>
      </c>
      <c r="J175" s="84">
        <f>INDEX(Flexion!D$16:Z$16,Tableau6[[#This Row],[Col.]])*($D176-$D175)</f>
        <v>0</v>
      </c>
      <c r="K175" s="83">
        <f>IF(B175=B174,0,INDEX(Flexion!D$20:Z$20,Tableau6[[#This Row],[Col.]]))</f>
        <v>0</v>
      </c>
      <c r="L175" s="92">
        <f>$L174+($D175-$D174)*(SUM($J$10:$J174,$K$10:$K174)-$J174/2)</f>
        <v>-228875</v>
      </c>
      <c r="M175" s="84">
        <f>Tableau6[[#This Row],[Fr nod.]]+Tableau6[[#This Row],[Fr lin.]]</f>
        <v>0</v>
      </c>
      <c r="N175" s="92">
        <f>Tableau6[[#This Row],[Mt nod.]]+Tableau6[[#This Row],[Mt lin.]]</f>
        <v>-232000</v>
      </c>
      <c r="O175" s="82">
        <f t="shared" si="19"/>
        <v>307478125</v>
      </c>
      <c r="P175" s="82">
        <f t="shared" ca="1" si="15"/>
        <v>4.1662821971595658E-4</v>
      </c>
      <c r="Q175" s="82">
        <f t="shared" si="20"/>
        <v>297700234475</v>
      </c>
      <c r="R175" s="82">
        <f t="shared" ca="1" si="16"/>
        <v>-1.0207859489000159E-2</v>
      </c>
      <c r="S175" s="102">
        <f ca="1">OFFSET($A175,,CHOOSE(Flexion!$A$26,COLUMN($M$9)-1,COLUMN($N$9)-1,COLUMN($P$9)-1,COLUMN($R$9)-1))</f>
        <v>-232000</v>
      </c>
    </row>
    <row r="176" spans="1:19" x14ac:dyDescent="0.2">
      <c r="A176" s="83">
        <f t="shared" si="14"/>
        <v>166</v>
      </c>
      <c r="B176" s="83">
        <f>MATCH(Tableau6[[#This Row],[x0]],Flexion!D$11:Z$11,1)</f>
        <v>5</v>
      </c>
      <c r="C176" s="83">
        <f>Tableau6[[#This Row],[N° pas]]*$A$2</f>
        <v>2490</v>
      </c>
      <c r="D176" s="101">
        <f>IF($B176=$B175,Tableau6[[#This Row],[x0]],INDEX(Flexion!D$11:Z$11,$B176))</f>
        <v>2490</v>
      </c>
      <c r="E176" s="83" t="str">
        <f>IF(B176=B175,"-",VALUE(INDEX(Flexion!D$10:Z$10,Tableau6[[#This Row],[Col.]])))</f>
        <v>-</v>
      </c>
      <c r="F176" s="83" t="str">
        <f>IF(E176="-","-",IF(INDEX(Flexion!D$12:Z$12,Tableau6[[#This Row],[Col.]])="","-",INDEX(Flexion!D$12:Z$12,Tableau6[[#This Row],[Col.]])))</f>
        <v>-</v>
      </c>
      <c r="G176" s="84">
        <f>IF(Tableau6[[#This Row],[Nœud]]&lt;&gt;"-",INDEX(Flexion!D$13:Z$13,Tableau6[[#This Row],[Col.]]),)</f>
        <v>0</v>
      </c>
      <c r="H176" s="83">
        <f>IF(Tableau6[[#This Row],[Appui]]&lt;&gt;"-",INDEX(Flexion!D$14:Z$14,Tableau6[[#This Row],[Col.]]),)</f>
        <v>0</v>
      </c>
      <c r="I176" s="92">
        <f>$I175+($D176-$D175)*(SUM($G$10:$G175,$H$10:$H175))</f>
        <v>-1250</v>
      </c>
      <c r="J176" s="84">
        <f>INDEX(Flexion!D$16:Z$16,Tableau6[[#This Row],[Col.]])*($D177-$D176)</f>
        <v>0</v>
      </c>
      <c r="K176" s="83">
        <f>IF(B176=B175,0,INDEX(Flexion!D$20:Z$20,Tableau6[[#This Row],[Col.]]))</f>
        <v>0</v>
      </c>
      <c r="L176" s="92">
        <f>$L175+($D176-$D175)*(SUM($J$10:$J175,$K$10:$K175)-$J175/2)</f>
        <v>-241550</v>
      </c>
      <c r="M176" s="84">
        <f>Tableau6[[#This Row],[Fr nod.]]+Tableau6[[#This Row],[Fr lin.]]</f>
        <v>0</v>
      </c>
      <c r="N176" s="92">
        <f>Tableau6[[#This Row],[Mt nod.]]+Tableau6[[#This Row],[Mt lin.]]</f>
        <v>-242800</v>
      </c>
      <c r="O176" s="82">
        <f t="shared" si="19"/>
        <v>303917125</v>
      </c>
      <c r="P176" s="82">
        <f t="shared" ca="1" si="15"/>
        <v>4.0671176190476191E-4</v>
      </c>
      <c r="Q176" s="82">
        <f t="shared" si="20"/>
        <v>302285698850</v>
      </c>
      <c r="R176" s="82">
        <f t="shared" ca="1" si="16"/>
        <v>-4.0328096268449354E-3</v>
      </c>
      <c r="S176" s="102">
        <f ca="1">OFFSET($A176,,CHOOSE(Flexion!$A$26,COLUMN($M$9)-1,COLUMN($N$9)-1,COLUMN($P$9)-1,COLUMN($R$9)-1))</f>
        <v>-242800</v>
      </c>
    </row>
    <row r="177" spans="1:19" x14ac:dyDescent="0.2">
      <c r="A177" s="83">
        <f t="shared" si="14"/>
        <v>167</v>
      </c>
      <c r="B177" s="83">
        <f>MATCH(Tableau6[[#This Row],[x0]],Flexion!D$11:Z$11,1)</f>
        <v>6</v>
      </c>
      <c r="C177" s="83">
        <f>Tableau6[[#This Row],[N° pas]]*$A$2</f>
        <v>2505</v>
      </c>
      <c r="D177" s="101">
        <f>IF($B177=$B176,Tableau6[[#This Row],[x0]],INDEX(Flexion!D$11:Z$11,$B177))</f>
        <v>2500</v>
      </c>
      <c r="E177" s="83">
        <f>IF(B177=B176,"-",VALUE(INDEX(Flexion!D$10:Z$10,Tableau6[[#This Row],[Col.]])))</f>
        <v>6</v>
      </c>
      <c r="F177" s="83" t="str">
        <f>IF(E177="-","-",IF(INDEX(Flexion!D$12:Z$12,Tableau6[[#This Row],[Col.]])="","-",INDEX(Flexion!D$12:Z$12,Tableau6[[#This Row],[Col.]])))</f>
        <v>ROTULE</v>
      </c>
      <c r="G177" s="84">
        <f>IF(Tableau6[[#This Row],[Nœud]]&lt;&gt;"-",INDEX(Flexion!D$13:Z$13,Tableau6[[#This Row],[Col.]]),)</f>
        <v>0</v>
      </c>
      <c r="H177" s="83">
        <f>IF(Tableau6[[#This Row],[Appui]]&lt;&gt;"-",INDEX(Flexion!D$14:Z$14,Tableau6[[#This Row],[Col.]]),)</f>
        <v>-125</v>
      </c>
      <c r="I177" s="92">
        <f>$I176+($D177-$D176)*(SUM($G$10:$G176,$H$10:$H176))</f>
        <v>0</v>
      </c>
      <c r="J177" s="84">
        <f>INDEX(Flexion!D$16:Z$16,Tableau6[[#This Row],[Col.]])*($D178-$D177)</f>
        <v>-40</v>
      </c>
      <c r="K177" s="83">
        <f>IF(B177=B176,0,INDEX(Flexion!D$20:Z$20,Tableau6[[#This Row],[Col.]]))</f>
        <v>1845</v>
      </c>
      <c r="L177" s="92">
        <f>$L176+($D177-$D176)*(SUM($J$10:$J176,$K$10:$K176)-$J176/2)</f>
        <v>-250000</v>
      </c>
      <c r="M177" s="84">
        <f>Tableau6[[#This Row],[Fr nod.]]+Tableau6[[#This Row],[Fr lin.]]</f>
        <v>1720</v>
      </c>
      <c r="N177" s="92">
        <f>Tableau6[[#This Row],[Mt nod.]]+Tableau6[[#This Row],[Mt lin.]]</f>
        <v>-250000</v>
      </c>
      <c r="O177" s="82">
        <f t="shared" si="19"/>
        <v>301453125</v>
      </c>
      <c r="P177" s="82">
        <f t="shared" ca="1" si="15"/>
        <v>3.9985016346421616E-4</v>
      </c>
      <c r="Q177" s="82">
        <f t="shared" si="20"/>
        <v>305312550100</v>
      </c>
      <c r="R177" s="82">
        <f t="shared" ca="1" si="16"/>
        <v>0</v>
      </c>
      <c r="S177" s="102">
        <f ca="1">OFFSET($A177,,CHOOSE(Flexion!$A$26,COLUMN($M$9)-1,COLUMN($N$9)-1,COLUMN($P$9)-1,COLUMN($R$9)-1))</f>
        <v>-250000</v>
      </c>
    </row>
    <row r="178" spans="1:19" x14ac:dyDescent="0.2">
      <c r="A178" s="83">
        <f t="shared" si="14"/>
        <v>168</v>
      </c>
      <c r="B178" s="83">
        <f>MATCH(Tableau6[[#This Row],[x0]],Flexion!D$11:Z$11,1)</f>
        <v>6</v>
      </c>
      <c r="C178" s="83">
        <f>Tableau6[[#This Row],[N° pas]]*$A$2</f>
        <v>2520</v>
      </c>
      <c r="D178" s="101">
        <f>IF($B178=$B177,Tableau6[[#This Row],[x0]],INDEX(Flexion!D$11:Z$11,$B178))</f>
        <v>2520</v>
      </c>
      <c r="E178" s="83" t="str">
        <f>IF(B178=B177,"-",VALUE(INDEX(Flexion!D$10:Z$10,Tableau6[[#This Row],[Col.]])))</f>
        <v>-</v>
      </c>
      <c r="F178" s="83" t="str">
        <f>IF(E178="-","-",IF(INDEX(Flexion!D$12:Z$12,Tableau6[[#This Row],[Col.]])="","-",INDEX(Flexion!D$12:Z$12,Tableau6[[#This Row],[Col.]])))</f>
        <v>-</v>
      </c>
      <c r="G178" s="84">
        <f>IF(Tableau6[[#This Row],[Nœud]]&lt;&gt;"-",INDEX(Flexion!D$13:Z$13,Tableau6[[#This Row],[Col.]]),)</f>
        <v>0</v>
      </c>
      <c r="H178" s="83">
        <f>IF(Tableau6[[#This Row],[Appui]]&lt;&gt;"-",INDEX(Flexion!D$14:Z$14,Tableau6[[#This Row],[Col.]]),)</f>
        <v>0</v>
      </c>
      <c r="I178" s="92">
        <f>$I177+($D178-$D177)*(SUM($G$10:$G177,$H$10:$H177))</f>
        <v>0</v>
      </c>
      <c r="J178" s="84">
        <f>INDEX(Flexion!D$16:Z$16,Tableau6[[#This Row],[Col.]])*($D179-$D178)</f>
        <v>-30</v>
      </c>
      <c r="K178" s="83">
        <f>IF(B178=B177,0,INDEX(Flexion!D$20:Z$20,Tableau6[[#This Row],[Col.]]))</f>
        <v>0</v>
      </c>
      <c r="L178" s="92">
        <f>$L177+($D178-$D177)*(SUM($J$10:$J177,$K$10:$K177)-$J177/2)</f>
        <v>-230400</v>
      </c>
      <c r="M178" s="84">
        <f>Tableau6[[#This Row],[Fr nod.]]+Tableau6[[#This Row],[Fr lin.]]</f>
        <v>0</v>
      </c>
      <c r="N178" s="92">
        <f>Tableau6[[#This Row],[Mt nod.]]+Tableau6[[#This Row],[Mt lin.]]</f>
        <v>-230400</v>
      </c>
      <c r="O178" s="82">
        <f t="shared" si="19"/>
        <v>296649125</v>
      </c>
      <c r="P178" s="82">
        <f t="shared" ca="1" si="15"/>
        <v>3.8647227429685331E-4</v>
      </c>
      <c r="Q178" s="82">
        <f t="shared" si="20"/>
        <v>311293572600</v>
      </c>
      <c r="R178" s="82">
        <f t="shared" ca="1" si="16"/>
        <v>7.8632243776106669E-3</v>
      </c>
      <c r="S178" s="102">
        <f ca="1">OFFSET($A178,,CHOOSE(Flexion!$A$26,COLUMN($M$9)-1,COLUMN($N$9)-1,COLUMN($P$9)-1,COLUMN($R$9)-1))</f>
        <v>-230400</v>
      </c>
    </row>
    <row r="179" spans="1:19" x14ac:dyDescent="0.2">
      <c r="A179" s="83">
        <f t="shared" si="14"/>
        <v>169</v>
      </c>
      <c r="B179" s="83">
        <f>MATCH(Tableau6[[#This Row],[x0]],Flexion!D$11:Z$11,1)</f>
        <v>6</v>
      </c>
      <c r="C179" s="83">
        <f>Tableau6[[#This Row],[N° pas]]*$A$2</f>
        <v>2535</v>
      </c>
      <c r="D179" s="101">
        <f>IF($B179=$B178,Tableau6[[#This Row],[x0]],INDEX(Flexion!D$11:Z$11,$B179))</f>
        <v>2535</v>
      </c>
      <c r="E179" s="83" t="str">
        <f>IF(B179=B178,"-",VALUE(INDEX(Flexion!D$10:Z$10,Tableau6[[#This Row],[Col.]])))</f>
        <v>-</v>
      </c>
      <c r="F179" s="83" t="str">
        <f>IF(E179="-","-",IF(INDEX(Flexion!D$12:Z$12,Tableau6[[#This Row],[Col.]])="","-",INDEX(Flexion!D$12:Z$12,Tableau6[[#This Row],[Col.]])))</f>
        <v>-</v>
      </c>
      <c r="G179" s="84">
        <f>IF(Tableau6[[#This Row],[Nœud]]&lt;&gt;"-",INDEX(Flexion!D$13:Z$13,Tableau6[[#This Row],[Col.]]),)</f>
        <v>0</v>
      </c>
      <c r="H179" s="83">
        <f>IF(Tableau6[[#This Row],[Appui]]&lt;&gt;"-",INDEX(Flexion!D$14:Z$14,Tableau6[[#This Row],[Col.]]),)</f>
        <v>0</v>
      </c>
      <c r="I179" s="92">
        <f>$I178+($D179-$D178)*(SUM($G$10:$G178,$H$10:$H178))</f>
        <v>0</v>
      </c>
      <c r="J179" s="84">
        <f>INDEX(Flexion!D$16:Z$16,Tableau6[[#This Row],[Col.]])*($D180-$D179)</f>
        <v>-30</v>
      </c>
      <c r="K179" s="83">
        <f>IF(B179=B178,0,INDEX(Flexion!D$20:Z$20,Tableau6[[#This Row],[Col.]]))</f>
        <v>0</v>
      </c>
      <c r="L179" s="92">
        <f>$L178+($D179-$D178)*(SUM($J$10:$J178,$K$10:$K178)-$J178/2)</f>
        <v>-216225</v>
      </c>
      <c r="M179" s="84">
        <f>Tableau6[[#This Row],[Fr nod.]]+Tableau6[[#This Row],[Fr lin.]]</f>
        <v>0</v>
      </c>
      <c r="N179" s="92">
        <f>Tableau6[[#This Row],[Mt nod.]]+Tableau6[[#This Row],[Mt lin.]]</f>
        <v>-216225</v>
      </c>
      <c r="O179" s="82">
        <f t="shared" si="19"/>
        <v>293299437.5</v>
      </c>
      <c r="P179" s="82">
        <f t="shared" ca="1" si="15"/>
        <v>3.7714426677805624E-4</v>
      </c>
      <c r="Q179" s="82">
        <f t="shared" si="20"/>
        <v>315718186818.75</v>
      </c>
      <c r="R179" s="82">
        <f t="shared" ca="1" si="16"/>
        <v>1.3590348435672528E-2</v>
      </c>
      <c r="S179" s="102">
        <f ca="1">OFFSET($A179,,CHOOSE(Flexion!$A$26,COLUMN($M$9)-1,COLUMN($N$9)-1,COLUMN($P$9)-1,COLUMN($R$9)-1))</f>
        <v>-216225</v>
      </c>
    </row>
    <row r="180" spans="1:19" x14ac:dyDescent="0.2">
      <c r="A180" s="83">
        <f t="shared" si="14"/>
        <v>170</v>
      </c>
      <c r="B180" s="83">
        <f>MATCH(Tableau6[[#This Row],[x0]],Flexion!D$11:Z$11,1)</f>
        <v>6</v>
      </c>
      <c r="C180" s="83">
        <f>Tableau6[[#This Row],[N° pas]]*$A$2</f>
        <v>2550</v>
      </c>
      <c r="D180" s="101">
        <f>IF($B180=$B179,Tableau6[[#This Row],[x0]],INDEX(Flexion!D$11:Z$11,$B180))</f>
        <v>2550</v>
      </c>
      <c r="E180" s="83" t="str">
        <f>IF(B180=B179,"-",VALUE(INDEX(Flexion!D$10:Z$10,Tableau6[[#This Row],[Col.]])))</f>
        <v>-</v>
      </c>
      <c r="F180" s="83" t="str">
        <f>IF(E180="-","-",IF(INDEX(Flexion!D$12:Z$12,Tableau6[[#This Row],[Col.]])="","-",INDEX(Flexion!D$12:Z$12,Tableau6[[#This Row],[Col.]])))</f>
        <v>-</v>
      </c>
      <c r="G180" s="84">
        <f>IF(Tableau6[[#This Row],[Nœud]]&lt;&gt;"-",INDEX(Flexion!D$13:Z$13,Tableau6[[#This Row],[Col.]]),)</f>
        <v>0</v>
      </c>
      <c r="H180" s="83">
        <f>IF(Tableau6[[#This Row],[Appui]]&lt;&gt;"-",INDEX(Flexion!D$14:Z$14,Tableau6[[#This Row],[Col.]]),)</f>
        <v>0</v>
      </c>
      <c r="I180" s="92">
        <f>$I179+($D180-$D179)*(SUM($G$10:$G179,$H$10:$H179))</f>
        <v>0</v>
      </c>
      <c r="J180" s="84">
        <f>INDEX(Flexion!D$16:Z$16,Tableau6[[#This Row],[Col.]])*($D181-$D180)</f>
        <v>-30</v>
      </c>
      <c r="K180" s="83">
        <f>IF(B180=B179,0,INDEX(Flexion!D$20:Z$20,Tableau6[[#This Row],[Col.]]))</f>
        <v>0</v>
      </c>
      <c r="L180" s="92">
        <f>$L179+($D180-$D179)*(SUM($J$10:$J179,$K$10:$K179)-$J179/2)</f>
        <v>-202500</v>
      </c>
      <c r="M180" s="84">
        <f>Tableau6[[#This Row],[Fr nod.]]+Tableau6[[#This Row],[Fr lin.]]</f>
        <v>0</v>
      </c>
      <c r="N180" s="92">
        <f>Tableau6[[#This Row],[Mt nod.]]+Tableau6[[#This Row],[Mt lin.]]</f>
        <v>-202500</v>
      </c>
      <c r="O180" s="82">
        <f t="shared" si="19"/>
        <v>290159000</v>
      </c>
      <c r="P180" s="82">
        <f t="shared" ca="1" si="15"/>
        <v>3.6839896602617657E-4</v>
      </c>
      <c r="Q180" s="82">
        <f t="shared" si="20"/>
        <v>320094125100</v>
      </c>
      <c r="R180" s="82">
        <f t="shared" ca="1" si="16"/>
        <v>1.9181922681704267E-2</v>
      </c>
      <c r="S180" s="102">
        <f ca="1">OFFSET($A180,,CHOOSE(Flexion!$A$26,COLUMN($M$9)-1,COLUMN($N$9)-1,COLUMN($P$9)-1,COLUMN($R$9)-1))</f>
        <v>-202500</v>
      </c>
    </row>
    <row r="181" spans="1:19" x14ac:dyDescent="0.2">
      <c r="A181" s="83">
        <f t="shared" si="14"/>
        <v>171</v>
      </c>
      <c r="B181" s="83">
        <f>MATCH(Tableau6[[#This Row],[x0]],Flexion!D$11:Z$11,1)</f>
        <v>6</v>
      </c>
      <c r="C181" s="83">
        <f>Tableau6[[#This Row],[N° pas]]*$A$2</f>
        <v>2565</v>
      </c>
      <c r="D181" s="101">
        <f>IF($B181=$B180,Tableau6[[#This Row],[x0]],INDEX(Flexion!D$11:Z$11,$B181))</f>
        <v>2565</v>
      </c>
      <c r="E181" s="83" t="str">
        <f>IF(B181=B180,"-",VALUE(INDEX(Flexion!D$10:Z$10,Tableau6[[#This Row],[Col.]])))</f>
        <v>-</v>
      </c>
      <c r="F181" s="83" t="str">
        <f>IF(E181="-","-",IF(INDEX(Flexion!D$12:Z$12,Tableau6[[#This Row],[Col.]])="","-",INDEX(Flexion!D$12:Z$12,Tableau6[[#This Row],[Col.]])))</f>
        <v>-</v>
      </c>
      <c r="G181" s="84">
        <f>IF(Tableau6[[#This Row],[Nœud]]&lt;&gt;"-",INDEX(Flexion!D$13:Z$13,Tableau6[[#This Row],[Col.]]),)</f>
        <v>0</v>
      </c>
      <c r="H181" s="83">
        <f>IF(Tableau6[[#This Row],[Appui]]&lt;&gt;"-",INDEX(Flexion!D$14:Z$14,Tableau6[[#This Row],[Col.]]),)</f>
        <v>0</v>
      </c>
      <c r="I181" s="92">
        <f>$I180+($D181-$D180)*(SUM($G$10:$G180,$H$10:$H180))</f>
        <v>0</v>
      </c>
      <c r="J181" s="84">
        <f>INDEX(Flexion!D$16:Z$16,Tableau6[[#This Row],[Col.]])*($D182-$D181)</f>
        <v>-30</v>
      </c>
      <c r="K181" s="83">
        <f>IF(B181=B180,0,INDEX(Flexion!D$20:Z$20,Tableau6[[#This Row],[Col.]]))</f>
        <v>0</v>
      </c>
      <c r="L181" s="92">
        <f>$L180+($D181-$D180)*(SUM($J$10:$J180,$K$10:$K180)-$J180/2)</f>
        <v>-189225</v>
      </c>
      <c r="M181" s="84">
        <f>Tableau6[[#This Row],[Fr nod.]]+Tableau6[[#This Row],[Fr lin.]]</f>
        <v>0</v>
      </c>
      <c r="N181" s="92">
        <f>Tableau6[[#This Row],[Mt nod.]]+Tableau6[[#This Row],[Mt lin.]]</f>
        <v>-189225</v>
      </c>
      <c r="O181" s="82">
        <f t="shared" si="19"/>
        <v>287221062.5</v>
      </c>
      <c r="P181" s="82">
        <f t="shared" ca="1" si="15"/>
        <v>3.6021757504873299E-4</v>
      </c>
      <c r="Q181" s="82">
        <f t="shared" si="20"/>
        <v>324424475568.75</v>
      </c>
      <c r="R181" s="82">
        <f t="shared" ca="1" si="16"/>
        <v>2.4646546739766073E-2</v>
      </c>
      <c r="S181" s="102">
        <f ca="1">OFFSET($A181,,CHOOSE(Flexion!$A$26,COLUMN($M$9)-1,COLUMN($N$9)-1,COLUMN($P$9)-1,COLUMN($R$9)-1))</f>
        <v>-189225</v>
      </c>
    </row>
    <row r="182" spans="1:19" x14ac:dyDescent="0.2">
      <c r="A182" s="83">
        <f t="shared" si="14"/>
        <v>172</v>
      </c>
      <c r="B182" s="83">
        <f>MATCH(Tableau6[[#This Row],[x0]],Flexion!D$11:Z$11,1)</f>
        <v>6</v>
      </c>
      <c r="C182" s="83">
        <f>Tableau6[[#This Row],[N° pas]]*$A$2</f>
        <v>2580</v>
      </c>
      <c r="D182" s="101">
        <f>IF($B182=$B181,Tableau6[[#This Row],[x0]],INDEX(Flexion!D$11:Z$11,$B182))</f>
        <v>2580</v>
      </c>
      <c r="E182" s="83" t="str">
        <f>IF(B182=B181,"-",VALUE(INDEX(Flexion!D$10:Z$10,Tableau6[[#This Row],[Col.]])))</f>
        <v>-</v>
      </c>
      <c r="F182" s="83" t="str">
        <f>IF(E182="-","-",IF(INDEX(Flexion!D$12:Z$12,Tableau6[[#This Row],[Col.]])="","-",INDEX(Flexion!D$12:Z$12,Tableau6[[#This Row],[Col.]])))</f>
        <v>-</v>
      </c>
      <c r="G182" s="84">
        <f>IF(Tableau6[[#This Row],[Nœud]]&lt;&gt;"-",INDEX(Flexion!D$13:Z$13,Tableau6[[#This Row],[Col.]]),)</f>
        <v>0</v>
      </c>
      <c r="H182" s="83">
        <f>IF(Tableau6[[#This Row],[Appui]]&lt;&gt;"-",INDEX(Flexion!D$14:Z$14,Tableau6[[#This Row],[Col.]]),)</f>
        <v>0</v>
      </c>
      <c r="I182" s="92">
        <f>$I181+($D182-$D181)*(SUM($G$10:$G181,$H$10:$H181))</f>
        <v>0</v>
      </c>
      <c r="J182" s="84">
        <f>INDEX(Flexion!D$16:Z$16,Tableau6[[#This Row],[Col.]])*($D183-$D182)</f>
        <v>-30</v>
      </c>
      <c r="K182" s="83">
        <f>IF(B182=B181,0,INDEX(Flexion!D$20:Z$20,Tableau6[[#This Row],[Col.]]))</f>
        <v>0</v>
      </c>
      <c r="L182" s="92">
        <f>$L181+($D182-$D181)*(SUM($J$10:$J181,$K$10:$K181)-$J181/2)</f>
        <v>-176400</v>
      </c>
      <c r="M182" s="84">
        <f>Tableau6[[#This Row],[Fr nod.]]+Tableau6[[#This Row],[Fr lin.]]</f>
        <v>0</v>
      </c>
      <c r="N182" s="92">
        <f>Tableau6[[#This Row],[Mt nod.]]+Tableau6[[#This Row],[Mt lin.]]</f>
        <v>-176400</v>
      </c>
      <c r="O182" s="82">
        <f t="shared" si="19"/>
        <v>284478875</v>
      </c>
      <c r="P182" s="82">
        <f t="shared" ca="1" si="15"/>
        <v>3.5258129685324422E-4</v>
      </c>
      <c r="Q182" s="82">
        <f t="shared" si="20"/>
        <v>328712225100</v>
      </c>
      <c r="R182" s="82">
        <f t="shared" ca="1" si="16"/>
        <v>2.9992538279030923E-2</v>
      </c>
      <c r="S182" s="102">
        <f ca="1">OFFSET($A182,,CHOOSE(Flexion!$A$26,COLUMN($M$9)-1,COLUMN($N$9)-1,COLUMN($P$9)-1,COLUMN($R$9)-1))</f>
        <v>-176400</v>
      </c>
    </row>
    <row r="183" spans="1:19" x14ac:dyDescent="0.2">
      <c r="A183" s="83">
        <f t="shared" si="14"/>
        <v>173</v>
      </c>
      <c r="B183" s="83">
        <f>MATCH(Tableau6[[#This Row],[x0]],Flexion!D$11:Z$11,1)</f>
        <v>6</v>
      </c>
      <c r="C183" s="83">
        <f>Tableau6[[#This Row],[N° pas]]*$A$2</f>
        <v>2595</v>
      </c>
      <c r="D183" s="101">
        <f>IF($B183=$B182,Tableau6[[#This Row],[x0]],INDEX(Flexion!D$11:Z$11,$B183))</f>
        <v>2595</v>
      </c>
      <c r="E183" s="83" t="str">
        <f>IF(B183=B182,"-",VALUE(INDEX(Flexion!D$10:Z$10,Tableau6[[#This Row],[Col.]])))</f>
        <v>-</v>
      </c>
      <c r="F183" s="83" t="str">
        <f>IF(E183="-","-",IF(INDEX(Flexion!D$12:Z$12,Tableau6[[#This Row],[Col.]])="","-",INDEX(Flexion!D$12:Z$12,Tableau6[[#This Row],[Col.]])))</f>
        <v>-</v>
      </c>
      <c r="G183" s="84">
        <f>IF(Tableau6[[#This Row],[Nœud]]&lt;&gt;"-",INDEX(Flexion!D$13:Z$13,Tableau6[[#This Row],[Col.]]),)</f>
        <v>0</v>
      </c>
      <c r="H183" s="83">
        <f>IF(Tableau6[[#This Row],[Appui]]&lt;&gt;"-",INDEX(Flexion!D$14:Z$14,Tableau6[[#This Row],[Col.]]),)</f>
        <v>0</v>
      </c>
      <c r="I183" s="92">
        <f>$I182+($D183-$D182)*(SUM($G$10:$G182,$H$10:$H182))</f>
        <v>0</v>
      </c>
      <c r="J183" s="84">
        <f>INDEX(Flexion!D$16:Z$16,Tableau6[[#This Row],[Col.]])*($D184-$D183)</f>
        <v>-30</v>
      </c>
      <c r="K183" s="83">
        <f>IF(B183=B182,0,INDEX(Flexion!D$20:Z$20,Tableau6[[#This Row],[Col.]]))</f>
        <v>0</v>
      </c>
      <c r="L183" s="92">
        <f>$L182+($D183-$D182)*(SUM($J$10:$J182,$K$10:$K182)-$J182/2)</f>
        <v>-164025</v>
      </c>
      <c r="M183" s="84">
        <f>Tableau6[[#This Row],[Fr nod.]]+Tableau6[[#This Row],[Fr lin.]]</f>
        <v>0</v>
      </c>
      <c r="N183" s="92">
        <f>Tableau6[[#This Row],[Mt nod.]]+Tableau6[[#This Row],[Mt lin.]]</f>
        <v>-164025</v>
      </c>
      <c r="O183" s="82">
        <f t="shared" si="19"/>
        <v>281925687.5</v>
      </c>
      <c r="P183" s="82">
        <f t="shared" ca="1" si="15"/>
        <v>3.4547133444722916E-4</v>
      </c>
      <c r="Q183" s="82">
        <f t="shared" si="20"/>
        <v>332960259318.75</v>
      </c>
      <c r="R183" s="82">
        <f t="shared" ca="1" si="16"/>
        <v>3.5227933013784463E-2</v>
      </c>
      <c r="S183" s="102">
        <f ca="1">OFFSET($A183,,CHOOSE(Flexion!$A$26,COLUMN($M$9)-1,COLUMN($N$9)-1,COLUMN($P$9)-1,COLUMN($R$9)-1))</f>
        <v>-164025</v>
      </c>
    </row>
    <row r="184" spans="1:19" x14ac:dyDescent="0.2">
      <c r="A184" s="83">
        <f t="shared" si="14"/>
        <v>174</v>
      </c>
      <c r="B184" s="83">
        <f>MATCH(Tableau6[[#This Row],[x0]],Flexion!D$11:Z$11,1)</f>
        <v>6</v>
      </c>
      <c r="C184" s="83">
        <f>Tableau6[[#This Row],[N° pas]]*$A$2</f>
        <v>2610</v>
      </c>
      <c r="D184" s="101">
        <f>IF($B184=$B183,Tableau6[[#This Row],[x0]],INDEX(Flexion!D$11:Z$11,$B184))</f>
        <v>2610</v>
      </c>
      <c r="E184" s="83" t="str">
        <f>IF(B184=B183,"-",VALUE(INDEX(Flexion!D$10:Z$10,Tableau6[[#This Row],[Col.]])))</f>
        <v>-</v>
      </c>
      <c r="F184" s="83" t="str">
        <f>IF(E184="-","-",IF(INDEX(Flexion!D$12:Z$12,Tableau6[[#This Row],[Col.]])="","-",INDEX(Flexion!D$12:Z$12,Tableau6[[#This Row],[Col.]])))</f>
        <v>-</v>
      </c>
      <c r="G184" s="84">
        <f>IF(Tableau6[[#This Row],[Nœud]]&lt;&gt;"-",INDEX(Flexion!D$13:Z$13,Tableau6[[#This Row],[Col.]]),)</f>
        <v>0</v>
      </c>
      <c r="H184" s="83">
        <f>IF(Tableau6[[#This Row],[Appui]]&lt;&gt;"-",INDEX(Flexion!D$14:Z$14,Tableau6[[#This Row],[Col.]]),)</f>
        <v>0</v>
      </c>
      <c r="I184" s="92">
        <f>$I183+($D184-$D183)*(SUM($G$10:$G183,$H$10:$H183))</f>
        <v>0</v>
      </c>
      <c r="J184" s="84">
        <f>INDEX(Flexion!D$16:Z$16,Tableau6[[#This Row],[Col.]])*($D185-$D184)</f>
        <v>-30</v>
      </c>
      <c r="K184" s="83">
        <f>IF(B184=B183,0,INDEX(Flexion!D$20:Z$20,Tableau6[[#This Row],[Col.]]))</f>
        <v>0</v>
      </c>
      <c r="L184" s="92">
        <f>$L183+($D184-$D183)*(SUM($J$10:$J183,$K$10:$K183)-$J183/2)</f>
        <v>-152100</v>
      </c>
      <c r="M184" s="84">
        <f>Tableau6[[#This Row],[Fr nod.]]+Tableau6[[#This Row],[Fr lin.]]</f>
        <v>0</v>
      </c>
      <c r="N184" s="92">
        <f>Tableau6[[#This Row],[Mt nod.]]+Tableau6[[#This Row],[Mt lin.]]</f>
        <v>-152100</v>
      </c>
      <c r="O184" s="82">
        <f t="shared" si="19"/>
        <v>279554750</v>
      </c>
      <c r="P184" s="82">
        <f t="shared" ca="1" si="15"/>
        <v>3.3886889083820662E-4</v>
      </c>
      <c r="Q184" s="82">
        <f t="shared" si="20"/>
        <v>337171362600</v>
      </c>
      <c r="R184" s="82">
        <f t="shared" ca="1" si="16"/>
        <v>4.0360484703425348E-2</v>
      </c>
      <c r="S184" s="102">
        <f ca="1">OFFSET($A184,,CHOOSE(Flexion!$A$26,COLUMN($M$9)-1,COLUMN($N$9)-1,COLUMN($P$9)-1,COLUMN($R$9)-1))</f>
        <v>-152100</v>
      </c>
    </row>
    <row r="185" spans="1:19" x14ac:dyDescent="0.2">
      <c r="A185" s="83">
        <f t="shared" si="14"/>
        <v>175</v>
      </c>
      <c r="B185" s="83">
        <f>MATCH(Tableau6[[#This Row],[x0]],Flexion!D$11:Z$11,1)</f>
        <v>6</v>
      </c>
      <c r="C185" s="83">
        <f>Tableau6[[#This Row],[N° pas]]*$A$2</f>
        <v>2625</v>
      </c>
      <c r="D185" s="101">
        <f>IF($B185=$B184,Tableau6[[#This Row],[x0]],INDEX(Flexion!D$11:Z$11,$B185))</f>
        <v>2625</v>
      </c>
      <c r="E185" s="83" t="str">
        <f>IF(B185=B184,"-",VALUE(INDEX(Flexion!D$10:Z$10,Tableau6[[#This Row],[Col.]])))</f>
        <v>-</v>
      </c>
      <c r="F185" s="83" t="str">
        <f>IF(E185="-","-",IF(INDEX(Flexion!D$12:Z$12,Tableau6[[#This Row],[Col.]])="","-",INDEX(Flexion!D$12:Z$12,Tableau6[[#This Row],[Col.]])))</f>
        <v>-</v>
      </c>
      <c r="G185" s="84">
        <f>IF(Tableau6[[#This Row],[Nœud]]&lt;&gt;"-",INDEX(Flexion!D$13:Z$13,Tableau6[[#This Row],[Col.]]),)</f>
        <v>0</v>
      </c>
      <c r="H185" s="83">
        <f>IF(Tableau6[[#This Row],[Appui]]&lt;&gt;"-",INDEX(Flexion!D$14:Z$14,Tableau6[[#This Row],[Col.]]),)</f>
        <v>0</v>
      </c>
      <c r="I185" s="92">
        <f>$I184+($D185-$D184)*(SUM($G$10:$G184,$H$10:$H184))</f>
        <v>0</v>
      </c>
      <c r="J185" s="84">
        <f>INDEX(Flexion!D$16:Z$16,Tableau6[[#This Row],[Col.]])*($D186-$D185)</f>
        <v>-30</v>
      </c>
      <c r="K185" s="83">
        <f>IF(B185=B184,0,INDEX(Flexion!D$20:Z$20,Tableau6[[#This Row],[Col.]]))</f>
        <v>0</v>
      </c>
      <c r="L185" s="92">
        <f>$L184+($D185-$D184)*(SUM($J$10:$J184,$K$10:$K184)-$J184/2)</f>
        <v>-140625</v>
      </c>
      <c r="M185" s="84">
        <f>Tableau6[[#This Row],[Fr nod.]]+Tableau6[[#This Row],[Fr lin.]]</f>
        <v>0</v>
      </c>
      <c r="N185" s="92">
        <f>Tableau6[[#This Row],[Mt nod.]]+Tableau6[[#This Row],[Mt lin.]]</f>
        <v>-140625</v>
      </c>
      <c r="O185" s="82">
        <f t="shared" si="19"/>
        <v>277359312.5</v>
      </c>
      <c r="P185" s="82">
        <f t="shared" ca="1" si="15"/>
        <v>3.3275516903369541E-4</v>
      </c>
      <c r="Q185" s="82">
        <f t="shared" si="20"/>
        <v>341348218068.75</v>
      </c>
      <c r="R185" s="82">
        <f t="shared" ca="1" si="16"/>
        <v>4.5397665152464572E-2</v>
      </c>
      <c r="S185" s="102">
        <f ca="1">OFFSET($A185,,CHOOSE(Flexion!$A$26,COLUMN($M$9)-1,COLUMN($N$9)-1,COLUMN($P$9)-1,COLUMN($R$9)-1))</f>
        <v>-140625</v>
      </c>
    </row>
    <row r="186" spans="1:19" x14ac:dyDescent="0.2">
      <c r="A186" s="83">
        <f t="shared" si="14"/>
        <v>176</v>
      </c>
      <c r="B186" s="83">
        <f>MATCH(Tableau6[[#This Row],[x0]],Flexion!D$11:Z$11,1)</f>
        <v>6</v>
      </c>
      <c r="C186" s="83">
        <f>Tableau6[[#This Row],[N° pas]]*$A$2</f>
        <v>2640</v>
      </c>
      <c r="D186" s="101">
        <f>IF($B186=$B185,Tableau6[[#This Row],[x0]],INDEX(Flexion!D$11:Z$11,$B186))</f>
        <v>2640</v>
      </c>
      <c r="E186" s="83" t="str">
        <f>IF(B186=B185,"-",VALUE(INDEX(Flexion!D$10:Z$10,Tableau6[[#This Row],[Col.]])))</f>
        <v>-</v>
      </c>
      <c r="F186" s="83" t="str">
        <f>IF(E186="-","-",IF(INDEX(Flexion!D$12:Z$12,Tableau6[[#This Row],[Col.]])="","-",INDEX(Flexion!D$12:Z$12,Tableau6[[#This Row],[Col.]])))</f>
        <v>-</v>
      </c>
      <c r="G186" s="84">
        <f>IF(Tableau6[[#This Row],[Nœud]]&lt;&gt;"-",INDEX(Flexion!D$13:Z$13,Tableau6[[#This Row],[Col.]]),)</f>
        <v>0</v>
      </c>
      <c r="H186" s="83">
        <f>IF(Tableau6[[#This Row],[Appui]]&lt;&gt;"-",INDEX(Flexion!D$14:Z$14,Tableau6[[#This Row],[Col.]]),)</f>
        <v>0</v>
      </c>
      <c r="I186" s="92">
        <f>$I185+($D186-$D185)*(SUM($G$10:$G185,$H$10:$H185))</f>
        <v>0</v>
      </c>
      <c r="J186" s="84">
        <f>INDEX(Flexion!D$16:Z$16,Tableau6[[#This Row],[Col.]])*($D187-$D186)</f>
        <v>-30</v>
      </c>
      <c r="K186" s="83">
        <f>IF(B186=B185,0,INDEX(Flexion!D$20:Z$20,Tableau6[[#This Row],[Col.]]))</f>
        <v>0</v>
      </c>
      <c r="L186" s="92">
        <f>$L185+($D186-$D185)*(SUM($J$10:$J185,$K$10:$K185)-$J185/2)</f>
        <v>-129600</v>
      </c>
      <c r="M186" s="84">
        <f>Tableau6[[#This Row],[Fr nod.]]+Tableau6[[#This Row],[Fr lin.]]</f>
        <v>0</v>
      </c>
      <c r="N186" s="92">
        <f>Tableau6[[#This Row],[Mt nod.]]+Tableau6[[#This Row],[Mt lin.]]</f>
        <v>-129600</v>
      </c>
      <c r="O186" s="82">
        <f t="shared" si="19"/>
        <v>275332625</v>
      </c>
      <c r="P186" s="82">
        <f t="shared" ca="1" si="15"/>
        <v>3.2711137204121413E-4</v>
      </c>
      <c r="Q186" s="82">
        <f t="shared" si="20"/>
        <v>345493407600</v>
      </c>
      <c r="R186" s="82">
        <f t="shared" ca="1" si="16"/>
        <v>5.0346664210526249E-2</v>
      </c>
      <c r="S186" s="102">
        <f ca="1">OFFSET($A186,,CHOOSE(Flexion!$A$26,COLUMN($M$9)-1,COLUMN($N$9)-1,COLUMN($P$9)-1,COLUMN($R$9)-1))</f>
        <v>-129600</v>
      </c>
    </row>
    <row r="187" spans="1:19" x14ac:dyDescent="0.2">
      <c r="A187" s="83">
        <f t="shared" si="14"/>
        <v>177</v>
      </c>
      <c r="B187" s="83">
        <f>MATCH(Tableau6[[#This Row],[x0]],Flexion!D$11:Z$11,1)</f>
        <v>6</v>
      </c>
      <c r="C187" s="83">
        <f>Tableau6[[#This Row],[N° pas]]*$A$2</f>
        <v>2655</v>
      </c>
      <c r="D187" s="101">
        <f>IF($B187=$B186,Tableau6[[#This Row],[x0]],INDEX(Flexion!D$11:Z$11,$B187))</f>
        <v>2655</v>
      </c>
      <c r="E187" s="83" t="str">
        <f>IF(B187=B186,"-",VALUE(INDEX(Flexion!D$10:Z$10,Tableau6[[#This Row],[Col.]])))</f>
        <v>-</v>
      </c>
      <c r="F187" s="83" t="str">
        <f>IF(E187="-","-",IF(INDEX(Flexion!D$12:Z$12,Tableau6[[#This Row],[Col.]])="","-",INDEX(Flexion!D$12:Z$12,Tableau6[[#This Row],[Col.]])))</f>
        <v>-</v>
      </c>
      <c r="G187" s="84">
        <f>IF(Tableau6[[#This Row],[Nœud]]&lt;&gt;"-",INDEX(Flexion!D$13:Z$13,Tableau6[[#This Row],[Col.]]),)</f>
        <v>0</v>
      </c>
      <c r="H187" s="83">
        <f>IF(Tableau6[[#This Row],[Appui]]&lt;&gt;"-",INDEX(Flexion!D$14:Z$14,Tableau6[[#This Row],[Col.]]),)</f>
        <v>0</v>
      </c>
      <c r="I187" s="92">
        <f>$I186+($D187-$D186)*(SUM($G$10:$G186,$H$10:$H186))</f>
        <v>0</v>
      </c>
      <c r="J187" s="84">
        <f>INDEX(Flexion!D$16:Z$16,Tableau6[[#This Row],[Col.]])*($D188-$D187)</f>
        <v>-30</v>
      </c>
      <c r="K187" s="83">
        <f>IF(B187=B186,0,INDEX(Flexion!D$20:Z$20,Tableau6[[#This Row],[Col.]]))</f>
        <v>0</v>
      </c>
      <c r="L187" s="92">
        <f>$L186+($D187-$D186)*(SUM($J$10:$J186,$K$10:$K186)-$J186/2)</f>
        <v>-119025</v>
      </c>
      <c r="M187" s="84">
        <f>Tableau6[[#This Row],[Fr nod.]]+Tableau6[[#This Row],[Fr lin.]]</f>
        <v>0</v>
      </c>
      <c r="N187" s="92">
        <f>Tableau6[[#This Row],[Mt nod.]]+Tableau6[[#This Row],[Mt lin.]]</f>
        <v>-119025</v>
      </c>
      <c r="O187" s="82">
        <f t="shared" si="19"/>
        <v>273467937.5</v>
      </c>
      <c r="P187" s="82">
        <f t="shared" ca="1" si="15"/>
        <v>3.2191870286828178E-4</v>
      </c>
      <c r="Q187" s="82">
        <f t="shared" si="20"/>
        <v>349609411818.75</v>
      </c>
      <c r="R187" s="82">
        <f t="shared" ca="1" si="16"/>
        <v>5.5214389772347494E-2</v>
      </c>
      <c r="S187" s="102">
        <f ca="1">OFFSET($A187,,CHOOSE(Flexion!$A$26,COLUMN($M$9)-1,COLUMN($N$9)-1,COLUMN($P$9)-1,COLUMN($R$9)-1))</f>
        <v>-119025</v>
      </c>
    </row>
    <row r="188" spans="1:19" x14ac:dyDescent="0.2">
      <c r="A188" s="83">
        <f t="shared" si="14"/>
        <v>178</v>
      </c>
      <c r="B188" s="83">
        <f>MATCH(Tableau6[[#This Row],[x0]],Flexion!D$11:Z$11,1)</f>
        <v>6</v>
      </c>
      <c r="C188" s="83">
        <f>Tableau6[[#This Row],[N° pas]]*$A$2</f>
        <v>2670</v>
      </c>
      <c r="D188" s="101">
        <f>IF($B188=$B187,Tableau6[[#This Row],[x0]],INDEX(Flexion!D$11:Z$11,$B188))</f>
        <v>2670</v>
      </c>
      <c r="E188" s="83" t="str">
        <f>IF(B188=B187,"-",VALUE(INDEX(Flexion!D$10:Z$10,Tableau6[[#This Row],[Col.]])))</f>
        <v>-</v>
      </c>
      <c r="F188" s="83" t="str">
        <f>IF(E188="-","-",IF(INDEX(Flexion!D$12:Z$12,Tableau6[[#This Row],[Col.]])="","-",INDEX(Flexion!D$12:Z$12,Tableau6[[#This Row],[Col.]])))</f>
        <v>-</v>
      </c>
      <c r="G188" s="84">
        <f>IF(Tableau6[[#This Row],[Nœud]]&lt;&gt;"-",INDEX(Flexion!D$13:Z$13,Tableau6[[#This Row],[Col.]]),)</f>
        <v>0</v>
      </c>
      <c r="H188" s="83">
        <f>IF(Tableau6[[#This Row],[Appui]]&lt;&gt;"-",INDEX(Flexion!D$14:Z$14,Tableau6[[#This Row],[Col.]]),)</f>
        <v>0</v>
      </c>
      <c r="I188" s="92">
        <f>$I187+($D188-$D187)*(SUM($G$10:$G187,$H$10:$H187))</f>
        <v>0</v>
      </c>
      <c r="J188" s="84">
        <f>INDEX(Flexion!D$16:Z$16,Tableau6[[#This Row],[Col.]])*($D189-$D188)</f>
        <v>-30</v>
      </c>
      <c r="K188" s="83">
        <f>IF(B188=B187,0,INDEX(Flexion!D$20:Z$20,Tableau6[[#This Row],[Col.]]))</f>
        <v>0</v>
      </c>
      <c r="L188" s="92">
        <f>$L187+($D188-$D187)*(SUM($J$10:$J187,$K$10:$K187)-$J187/2)</f>
        <v>-108900</v>
      </c>
      <c r="M188" s="84">
        <f>Tableau6[[#This Row],[Fr nod.]]+Tableau6[[#This Row],[Fr lin.]]</f>
        <v>0</v>
      </c>
      <c r="N188" s="92">
        <f>Tableau6[[#This Row],[Mt nod.]]+Tableau6[[#This Row],[Mt lin.]]</f>
        <v>-108900</v>
      </c>
      <c r="O188" s="82">
        <f t="shared" si="19"/>
        <v>271758500</v>
      </c>
      <c r="P188" s="82">
        <f t="shared" ca="1" si="15"/>
        <v>3.1715836452241719E-4</v>
      </c>
      <c r="Q188" s="82">
        <f t="shared" si="20"/>
        <v>353698610100</v>
      </c>
      <c r="R188" s="82">
        <f t="shared" ca="1" si="16"/>
        <v>6.0007467777777768E-2</v>
      </c>
      <c r="S188" s="102">
        <f ca="1">OFFSET($A188,,CHOOSE(Flexion!$A$26,COLUMN($M$9)-1,COLUMN($N$9)-1,COLUMN($P$9)-1,COLUMN($R$9)-1))</f>
        <v>-108900</v>
      </c>
    </row>
    <row r="189" spans="1:19" x14ac:dyDescent="0.2">
      <c r="A189" s="83">
        <f t="shared" si="14"/>
        <v>179</v>
      </c>
      <c r="B189" s="83">
        <f>MATCH(Tableau6[[#This Row],[x0]],Flexion!D$11:Z$11,1)</f>
        <v>6</v>
      </c>
      <c r="C189" s="83">
        <f>Tableau6[[#This Row],[N° pas]]*$A$2</f>
        <v>2685</v>
      </c>
      <c r="D189" s="101">
        <f>IF($B189=$B188,Tableau6[[#This Row],[x0]],INDEX(Flexion!D$11:Z$11,$B189))</f>
        <v>2685</v>
      </c>
      <c r="E189" s="83" t="str">
        <f>IF(B189=B188,"-",VALUE(INDEX(Flexion!D$10:Z$10,Tableau6[[#This Row],[Col.]])))</f>
        <v>-</v>
      </c>
      <c r="F189" s="83" t="str">
        <f>IF(E189="-","-",IF(INDEX(Flexion!D$12:Z$12,Tableau6[[#This Row],[Col.]])="","-",INDEX(Flexion!D$12:Z$12,Tableau6[[#This Row],[Col.]])))</f>
        <v>-</v>
      </c>
      <c r="G189" s="84">
        <f>IF(Tableau6[[#This Row],[Nœud]]&lt;&gt;"-",INDEX(Flexion!D$13:Z$13,Tableau6[[#This Row],[Col.]]),)</f>
        <v>0</v>
      </c>
      <c r="H189" s="83">
        <f>IF(Tableau6[[#This Row],[Appui]]&lt;&gt;"-",INDEX(Flexion!D$14:Z$14,Tableau6[[#This Row],[Col.]]),)</f>
        <v>0</v>
      </c>
      <c r="I189" s="92">
        <f>$I188+($D189-$D188)*(SUM($G$10:$G188,$H$10:$H188))</f>
        <v>0</v>
      </c>
      <c r="J189" s="84">
        <f>INDEX(Flexion!D$16:Z$16,Tableau6[[#This Row],[Col.]])*($D190-$D189)</f>
        <v>-30</v>
      </c>
      <c r="K189" s="83">
        <f>IF(B189=B188,0,INDEX(Flexion!D$20:Z$20,Tableau6[[#This Row],[Col.]]))</f>
        <v>0</v>
      </c>
      <c r="L189" s="92">
        <f>$L188+($D189-$D188)*(SUM($J$10:$J188,$K$10:$K188)-$J188/2)</f>
        <v>-99225</v>
      </c>
      <c r="M189" s="84">
        <f>Tableau6[[#This Row],[Fr nod.]]+Tableau6[[#This Row],[Fr lin.]]</f>
        <v>0</v>
      </c>
      <c r="N189" s="92">
        <f>Tableau6[[#This Row],[Mt nod.]]+Tableau6[[#This Row],[Mt lin.]]</f>
        <v>-99225</v>
      </c>
      <c r="O189" s="82">
        <f t="shared" si="19"/>
        <v>270197562.5</v>
      </c>
      <c r="P189" s="82">
        <f t="shared" ca="1" si="15"/>
        <v>3.1281156001113894E-4</v>
      </c>
      <c r="Q189" s="82">
        <f t="shared" si="20"/>
        <v>357763280568.75</v>
      </c>
      <c r="R189" s="82">
        <f t="shared" ca="1" si="16"/>
        <v>6.4732242211779423E-2</v>
      </c>
      <c r="S189" s="102">
        <f ca="1">OFFSET($A189,,CHOOSE(Flexion!$A$26,COLUMN($M$9)-1,COLUMN($N$9)-1,COLUMN($P$9)-1,COLUMN($R$9)-1))</f>
        <v>-99225</v>
      </c>
    </row>
    <row r="190" spans="1:19" x14ac:dyDescent="0.2">
      <c r="A190" s="83">
        <f t="shared" si="14"/>
        <v>180</v>
      </c>
      <c r="B190" s="83">
        <f>MATCH(Tableau6[[#This Row],[x0]],Flexion!D$11:Z$11,1)</f>
        <v>6</v>
      </c>
      <c r="C190" s="83">
        <f>Tableau6[[#This Row],[N° pas]]*$A$2</f>
        <v>2700</v>
      </c>
      <c r="D190" s="101">
        <f>IF($B190=$B189,Tableau6[[#This Row],[x0]],INDEX(Flexion!D$11:Z$11,$B190))</f>
        <v>2700</v>
      </c>
      <c r="E190" s="83" t="str">
        <f>IF(B190=B189,"-",VALUE(INDEX(Flexion!D$10:Z$10,Tableau6[[#This Row],[Col.]])))</f>
        <v>-</v>
      </c>
      <c r="F190" s="83" t="str">
        <f>IF(E190="-","-",IF(INDEX(Flexion!D$12:Z$12,Tableau6[[#This Row],[Col.]])="","-",INDEX(Flexion!D$12:Z$12,Tableau6[[#This Row],[Col.]])))</f>
        <v>-</v>
      </c>
      <c r="G190" s="84">
        <f>IF(Tableau6[[#This Row],[Nœud]]&lt;&gt;"-",INDEX(Flexion!D$13:Z$13,Tableau6[[#This Row],[Col.]]),)</f>
        <v>0</v>
      </c>
      <c r="H190" s="83">
        <f>IF(Tableau6[[#This Row],[Appui]]&lt;&gt;"-",INDEX(Flexion!D$14:Z$14,Tableau6[[#This Row],[Col.]]),)</f>
        <v>0</v>
      </c>
      <c r="I190" s="92">
        <f>$I189+($D190-$D189)*(SUM($G$10:$G189,$H$10:$H189))</f>
        <v>0</v>
      </c>
      <c r="J190" s="84">
        <f>INDEX(Flexion!D$16:Z$16,Tableau6[[#This Row],[Col.]])*($D191-$D190)</f>
        <v>-30</v>
      </c>
      <c r="K190" s="83">
        <f>IF(B190=B189,0,INDEX(Flexion!D$20:Z$20,Tableau6[[#This Row],[Col.]]))</f>
        <v>0</v>
      </c>
      <c r="L190" s="92">
        <f>$L189+($D190-$D189)*(SUM($J$10:$J189,$K$10:$K189)-$J189/2)</f>
        <v>-90000</v>
      </c>
      <c r="M190" s="84">
        <f>Tableau6[[#This Row],[Fr nod.]]+Tableau6[[#This Row],[Fr lin.]]</f>
        <v>0</v>
      </c>
      <c r="N190" s="92">
        <f>Tableau6[[#This Row],[Mt nod.]]+Tableau6[[#This Row],[Mt lin.]]</f>
        <v>-90000</v>
      </c>
      <c r="O190" s="82">
        <f t="shared" si="19"/>
        <v>268778375</v>
      </c>
      <c r="P190" s="82">
        <f t="shared" ca="1" si="15"/>
        <v>3.0885949234196606E-4</v>
      </c>
      <c r="Q190" s="82">
        <f t="shared" si="20"/>
        <v>361805600100</v>
      </c>
      <c r="R190" s="82">
        <f t="shared" ca="1" si="16"/>
        <v>6.9394775104427819E-2</v>
      </c>
      <c r="S190" s="102">
        <f ca="1">OFFSET($A190,,CHOOSE(Flexion!$A$26,COLUMN($M$9)-1,COLUMN($N$9)-1,COLUMN($P$9)-1,COLUMN($R$9)-1))</f>
        <v>-90000</v>
      </c>
    </row>
    <row r="191" spans="1:19" x14ac:dyDescent="0.2">
      <c r="A191" s="83">
        <f t="shared" si="14"/>
        <v>181</v>
      </c>
      <c r="B191" s="83">
        <f>MATCH(Tableau6[[#This Row],[x0]],Flexion!D$11:Z$11,1)</f>
        <v>6</v>
      </c>
      <c r="C191" s="83">
        <f>Tableau6[[#This Row],[N° pas]]*$A$2</f>
        <v>2715</v>
      </c>
      <c r="D191" s="101">
        <f>IF($B191=$B190,Tableau6[[#This Row],[x0]],INDEX(Flexion!D$11:Z$11,$B191))</f>
        <v>2715</v>
      </c>
      <c r="E191" s="83" t="str">
        <f>IF(B191=B190,"-",VALUE(INDEX(Flexion!D$10:Z$10,Tableau6[[#This Row],[Col.]])))</f>
        <v>-</v>
      </c>
      <c r="F191" s="83" t="str">
        <f>IF(E191="-","-",IF(INDEX(Flexion!D$12:Z$12,Tableau6[[#This Row],[Col.]])="","-",INDEX(Flexion!D$12:Z$12,Tableau6[[#This Row],[Col.]])))</f>
        <v>-</v>
      </c>
      <c r="G191" s="84">
        <f>IF(Tableau6[[#This Row],[Nœud]]&lt;&gt;"-",INDEX(Flexion!D$13:Z$13,Tableau6[[#This Row],[Col.]]),)</f>
        <v>0</v>
      </c>
      <c r="H191" s="83">
        <f>IF(Tableau6[[#This Row],[Appui]]&lt;&gt;"-",INDEX(Flexion!D$14:Z$14,Tableau6[[#This Row],[Col.]]),)</f>
        <v>0</v>
      </c>
      <c r="I191" s="92">
        <f>$I190+($D191-$D190)*(SUM($G$10:$G190,$H$10:$H190))</f>
        <v>0</v>
      </c>
      <c r="J191" s="84">
        <f>INDEX(Flexion!D$16:Z$16,Tableau6[[#This Row],[Col.]])*($D192-$D191)</f>
        <v>-30</v>
      </c>
      <c r="K191" s="83">
        <f>IF(B191=B190,0,INDEX(Flexion!D$20:Z$20,Tableau6[[#This Row],[Col.]]))</f>
        <v>0</v>
      </c>
      <c r="L191" s="92">
        <f>$L190+($D191-$D190)*(SUM($J$10:$J190,$K$10:$K190)-$J190/2)</f>
        <v>-81225</v>
      </c>
      <c r="M191" s="84">
        <f>Tableau6[[#This Row],[Fr nod.]]+Tableau6[[#This Row],[Fr lin.]]</f>
        <v>0</v>
      </c>
      <c r="N191" s="92">
        <f>Tableau6[[#This Row],[Mt nod.]]+Tableau6[[#This Row],[Mt lin.]]</f>
        <v>-81225</v>
      </c>
      <c r="O191" s="82">
        <f t="shared" si="19"/>
        <v>267494187.5</v>
      </c>
      <c r="P191" s="82">
        <f t="shared" ca="1" si="15"/>
        <v>3.0528336452241713E-4</v>
      </c>
      <c r="Q191" s="82">
        <f t="shared" si="20"/>
        <v>365827644318.75</v>
      </c>
      <c r="R191" s="82">
        <f t="shared" ca="1" si="16"/>
        <v>7.4000846530910658E-2</v>
      </c>
      <c r="S191" s="102">
        <f ca="1">OFFSET($A191,,CHOOSE(Flexion!$A$26,COLUMN($M$9)-1,COLUMN($N$9)-1,COLUMN($P$9)-1,COLUMN($R$9)-1))</f>
        <v>-81225</v>
      </c>
    </row>
    <row r="192" spans="1:19" x14ac:dyDescent="0.2">
      <c r="A192" s="83">
        <f t="shared" si="14"/>
        <v>182</v>
      </c>
      <c r="B192" s="83">
        <f>MATCH(Tableau6[[#This Row],[x0]],Flexion!D$11:Z$11,1)</f>
        <v>6</v>
      </c>
      <c r="C192" s="83">
        <f>Tableau6[[#This Row],[N° pas]]*$A$2</f>
        <v>2730</v>
      </c>
      <c r="D192" s="101">
        <f>IF($B192=$B191,Tableau6[[#This Row],[x0]],INDEX(Flexion!D$11:Z$11,$B192))</f>
        <v>2730</v>
      </c>
      <c r="E192" s="83" t="str">
        <f>IF(B192=B191,"-",VALUE(INDEX(Flexion!D$10:Z$10,Tableau6[[#This Row],[Col.]])))</f>
        <v>-</v>
      </c>
      <c r="F192" s="83" t="str">
        <f>IF(E192="-","-",IF(INDEX(Flexion!D$12:Z$12,Tableau6[[#This Row],[Col.]])="","-",INDEX(Flexion!D$12:Z$12,Tableau6[[#This Row],[Col.]])))</f>
        <v>-</v>
      </c>
      <c r="G192" s="84">
        <f>IF(Tableau6[[#This Row],[Nœud]]&lt;&gt;"-",INDEX(Flexion!D$13:Z$13,Tableau6[[#This Row],[Col.]]),)</f>
        <v>0</v>
      </c>
      <c r="H192" s="83">
        <f>IF(Tableau6[[#This Row],[Appui]]&lt;&gt;"-",INDEX(Flexion!D$14:Z$14,Tableau6[[#This Row],[Col.]]),)</f>
        <v>0</v>
      </c>
      <c r="I192" s="92">
        <f>$I191+($D192-$D191)*(SUM($G$10:$G191,$H$10:$H191))</f>
        <v>0</v>
      </c>
      <c r="J192" s="84">
        <f>INDEX(Flexion!D$16:Z$16,Tableau6[[#This Row],[Col.]])*($D193-$D192)</f>
        <v>-30</v>
      </c>
      <c r="K192" s="83">
        <f>IF(B192=B191,0,INDEX(Flexion!D$20:Z$20,Tableau6[[#This Row],[Col.]]))</f>
        <v>0</v>
      </c>
      <c r="L192" s="92">
        <f>$L191+($D192-$D191)*(SUM($J$10:$J191,$K$10:$K191)-$J191/2)</f>
        <v>-72900</v>
      </c>
      <c r="M192" s="84">
        <f>Tableau6[[#This Row],[Fr nod.]]+Tableau6[[#This Row],[Fr lin.]]</f>
        <v>0</v>
      </c>
      <c r="N192" s="92">
        <f>Tableau6[[#This Row],[Mt nod.]]+Tableau6[[#This Row],[Mt lin.]]</f>
        <v>-72900</v>
      </c>
      <c r="O192" s="82">
        <f t="shared" si="19"/>
        <v>266338250</v>
      </c>
      <c r="P192" s="82">
        <f t="shared" ca="1" si="15"/>
        <v>3.0206437956001119E-4</v>
      </c>
      <c r="Q192" s="82">
        <f t="shared" si="20"/>
        <v>369831387600</v>
      </c>
      <c r="R192" s="82">
        <f t="shared" ca="1" si="16"/>
        <v>7.8555954611528755E-2</v>
      </c>
      <c r="S192" s="102">
        <f ca="1">OFFSET($A192,,CHOOSE(Flexion!$A$26,COLUMN($M$9)-1,COLUMN($N$9)-1,COLUMN($P$9)-1,COLUMN($R$9)-1))</f>
        <v>-72900</v>
      </c>
    </row>
    <row r="193" spans="1:19" x14ac:dyDescent="0.2">
      <c r="A193" s="83">
        <f t="shared" si="14"/>
        <v>183</v>
      </c>
      <c r="B193" s="83">
        <f>MATCH(Tableau6[[#This Row],[x0]],Flexion!D$11:Z$11,1)</f>
        <v>6</v>
      </c>
      <c r="C193" s="83">
        <f>Tableau6[[#This Row],[N° pas]]*$A$2</f>
        <v>2745</v>
      </c>
      <c r="D193" s="101">
        <f>IF($B193=$B192,Tableau6[[#This Row],[x0]],INDEX(Flexion!D$11:Z$11,$B193))</f>
        <v>2745</v>
      </c>
      <c r="E193" s="83" t="str">
        <f>IF(B193=B192,"-",VALUE(INDEX(Flexion!D$10:Z$10,Tableau6[[#This Row],[Col.]])))</f>
        <v>-</v>
      </c>
      <c r="F193" s="83" t="str">
        <f>IF(E193="-","-",IF(INDEX(Flexion!D$12:Z$12,Tableau6[[#This Row],[Col.]])="","-",INDEX(Flexion!D$12:Z$12,Tableau6[[#This Row],[Col.]])))</f>
        <v>-</v>
      </c>
      <c r="G193" s="84">
        <f>IF(Tableau6[[#This Row],[Nœud]]&lt;&gt;"-",INDEX(Flexion!D$13:Z$13,Tableau6[[#This Row],[Col.]]),)</f>
        <v>0</v>
      </c>
      <c r="H193" s="83">
        <f>IF(Tableau6[[#This Row],[Appui]]&lt;&gt;"-",INDEX(Flexion!D$14:Z$14,Tableau6[[#This Row],[Col.]]),)</f>
        <v>0</v>
      </c>
      <c r="I193" s="92">
        <f>$I192+($D193-$D192)*(SUM($G$10:$G192,$H$10:$H192))</f>
        <v>0</v>
      </c>
      <c r="J193" s="84">
        <f>INDEX(Flexion!D$16:Z$16,Tableau6[[#This Row],[Col.]])*($D194-$D193)</f>
        <v>-30</v>
      </c>
      <c r="K193" s="83">
        <f>IF(B193=B192,0,INDEX(Flexion!D$20:Z$20,Tableau6[[#This Row],[Col.]]))</f>
        <v>0</v>
      </c>
      <c r="L193" s="92">
        <f>$L192+($D193-$D192)*(SUM($J$10:$J192,$K$10:$K192)-$J192/2)</f>
        <v>-65025</v>
      </c>
      <c r="M193" s="84">
        <f>Tableau6[[#This Row],[Fr nod.]]+Tableau6[[#This Row],[Fr lin.]]</f>
        <v>0</v>
      </c>
      <c r="N193" s="92">
        <f>Tableau6[[#This Row],[Mt nod.]]+Tableau6[[#This Row],[Mt lin.]]</f>
        <v>-65025</v>
      </c>
      <c r="O193" s="82">
        <f t="shared" si="19"/>
        <v>265303812.5</v>
      </c>
      <c r="P193" s="82">
        <f t="shared" ca="1" si="15"/>
        <v>2.9918374046226682E-4</v>
      </c>
      <c r="Q193" s="82">
        <f t="shared" si="20"/>
        <v>373818703068.75</v>
      </c>
      <c r="R193" s="82">
        <f t="shared" ca="1" si="16"/>
        <v>8.3065315511695936E-2</v>
      </c>
      <c r="S193" s="102">
        <f ca="1">OFFSET($A193,,CHOOSE(Flexion!$A$26,COLUMN($M$9)-1,COLUMN($N$9)-1,COLUMN($P$9)-1,COLUMN($R$9)-1))</f>
        <v>-65025</v>
      </c>
    </row>
    <row r="194" spans="1:19" x14ac:dyDescent="0.2">
      <c r="A194" s="83">
        <f t="shared" si="14"/>
        <v>184</v>
      </c>
      <c r="B194" s="83">
        <f>MATCH(Tableau6[[#This Row],[x0]],Flexion!D$11:Z$11,1)</f>
        <v>6</v>
      </c>
      <c r="C194" s="83">
        <f>Tableau6[[#This Row],[N° pas]]*$A$2</f>
        <v>2760</v>
      </c>
      <c r="D194" s="101">
        <f>IF($B194=$B193,Tableau6[[#This Row],[x0]],INDEX(Flexion!D$11:Z$11,$B194))</f>
        <v>2760</v>
      </c>
      <c r="E194" s="83" t="str">
        <f>IF(B194=B193,"-",VALUE(INDEX(Flexion!D$10:Z$10,Tableau6[[#This Row],[Col.]])))</f>
        <v>-</v>
      </c>
      <c r="F194" s="83" t="str">
        <f>IF(E194="-","-",IF(INDEX(Flexion!D$12:Z$12,Tableau6[[#This Row],[Col.]])="","-",INDEX(Flexion!D$12:Z$12,Tableau6[[#This Row],[Col.]])))</f>
        <v>-</v>
      </c>
      <c r="G194" s="84">
        <f>IF(Tableau6[[#This Row],[Nœud]]&lt;&gt;"-",INDEX(Flexion!D$13:Z$13,Tableau6[[#This Row],[Col.]]),)</f>
        <v>0</v>
      </c>
      <c r="H194" s="83">
        <f>IF(Tableau6[[#This Row],[Appui]]&lt;&gt;"-",INDEX(Flexion!D$14:Z$14,Tableau6[[#This Row],[Col.]]),)</f>
        <v>0</v>
      </c>
      <c r="I194" s="92">
        <f>$I193+($D194-$D193)*(SUM($G$10:$G193,$H$10:$H193))</f>
        <v>0</v>
      </c>
      <c r="J194" s="84">
        <f>INDEX(Flexion!D$16:Z$16,Tableau6[[#This Row],[Col.]])*($D195-$D194)</f>
        <v>-30</v>
      </c>
      <c r="K194" s="83">
        <f>IF(B194=B193,0,INDEX(Flexion!D$20:Z$20,Tableau6[[#This Row],[Col.]]))</f>
        <v>0</v>
      </c>
      <c r="L194" s="92">
        <f>$L193+($D194-$D193)*(SUM($J$10:$J193,$K$10:$K193)-$J193/2)</f>
        <v>-57600</v>
      </c>
      <c r="M194" s="84">
        <f>Tableau6[[#This Row],[Fr nod.]]+Tableau6[[#This Row],[Fr lin.]]</f>
        <v>0</v>
      </c>
      <c r="N194" s="92">
        <f>Tableau6[[#This Row],[Mt nod.]]+Tableau6[[#This Row],[Mt lin.]]</f>
        <v>-57600</v>
      </c>
      <c r="O194" s="82">
        <f t="shared" si="19"/>
        <v>264384125</v>
      </c>
      <c r="P194" s="82">
        <f t="shared" ca="1" si="15"/>
        <v>2.9662265023670283E-4</v>
      </c>
      <c r="Q194" s="82">
        <f t="shared" si="20"/>
        <v>377791362600</v>
      </c>
      <c r="R194" s="82">
        <f t="shared" ca="1" si="16"/>
        <v>8.7533863441938364E-2</v>
      </c>
      <c r="S194" s="102">
        <f ca="1">OFFSET($A194,,CHOOSE(Flexion!$A$26,COLUMN($M$9)-1,COLUMN($N$9)-1,COLUMN($P$9)-1,COLUMN($R$9)-1))</f>
        <v>-57600</v>
      </c>
    </row>
    <row r="195" spans="1:19" x14ac:dyDescent="0.2">
      <c r="A195" s="83">
        <f t="shared" si="14"/>
        <v>185</v>
      </c>
      <c r="B195" s="83">
        <f>MATCH(Tableau6[[#This Row],[x0]],Flexion!D$11:Z$11,1)</f>
        <v>6</v>
      </c>
      <c r="C195" s="83">
        <f>Tableau6[[#This Row],[N° pas]]*$A$2</f>
        <v>2775</v>
      </c>
      <c r="D195" s="101">
        <f>IF($B195=$B194,Tableau6[[#This Row],[x0]],INDEX(Flexion!D$11:Z$11,$B195))</f>
        <v>2775</v>
      </c>
      <c r="E195" s="83" t="str">
        <f>IF(B195=B194,"-",VALUE(INDEX(Flexion!D$10:Z$10,Tableau6[[#This Row],[Col.]])))</f>
        <v>-</v>
      </c>
      <c r="F195" s="83" t="str">
        <f>IF(E195="-","-",IF(INDEX(Flexion!D$12:Z$12,Tableau6[[#This Row],[Col.]])="","-",INDEX(Flexion!D$12:Z$12,Tableau6[[#This Row],[Col.]])))</f>
        <v>-</v>
      </c>
      <c r="G195" s="84">
        <f>IF(Tableau6[[#This Row],[Nœud]]&lt;&gt;"-",INDEX(Flexion!D$13:Z$13,Tableau6[[#This Row],[Col.]]),)</f>
        <v>0</v>
      </c>
      <c r="H195" s="83">
        <f>IF(Tableau6[[#This Row],[Appui]]&lt;&gt;"-",INDEX(Flexion!D$14:Z$14,Tableau6[[#This Row],[Col.]]),)</f>
        <v>0</v>
      </c>
      <c r="I195" s="92">
        <f>$I194+($D195-$D194)*(SUM($G$10:$G194,$H$10:$H194))</f>
        <v>0</v>
      </c>
      <c r="J195" s="84">
        <f>INDEX(Flexion!D$16:Z$16,Tableau6[[#This Row],[Col.]])*($D196-$D195)</f>
        <v>-30</v>
      </c>
      <c r="K195" s="83">
        <f>IF(B195=B194,0,INDEX(Flexion!D$20:Z$20,Tableau6[[#This Row],[Col.]]))</f>
        <v>0</v>
      </c>
      <c r="L195" s="92">
        <f>$L194+($D195-$D194)*(SUM($J$10:$J194,$K$10:$K194)-$J194/2)</f>
        <v>-50625</v>
      </c>
      <c r="M195" s="84">
        <f>Tableau6[[#This Row],[Fr nod.]]+Tableau6[[#This Row],[Fr lin.]]</f>
        <v>0</v>
      </c>
      <c r="N195" s="92">
        <f>Tableau6[[#This Row],[Mt nod.]]+Tableau6[[#This Row],[Mt lin.]]</f>
        <v>-50625</v>
      </c>
      <c r="O195" s="82">
        <f t="shared" si="19"/>
        <v>263572437.5</v>
      </c>
      <c r="P195" s="82">
        <f t="shared" ca="1" si="15"/>
        <v>2.9436231189083824E-4</v>
      </c>
      <c r="Q195" s="82">
        <f t="shared" si="20"/>
        <v>381751036818.75</v>
      </c>
      <c r="R195" s="82">
        <f t="shared" ca="1" si="16"/>
        <v>9.1966250657894766E-2</v>
      </c>
      <c r="S195" s="102">
        <f ca="1">OFFSET($A195,,CHOOSE(Flexion!$A$26,COLUMN($M$9)-1,COLUMN($N$9)-1,COLUMN($P$9)-1,COLUMN($R$9)-1))</f>
        <v>-50625</v>
      </c>
    </row>
    <row r="196" spans="1:19" x14ac:dyDescent="0.2">
      <c r="A196" s="83">
        <f t="shared" si="14"/>
        <v>186</v>
      </c>
      <c r="B196" s="83">
        <f>MATCH(Tableau6[[#This Row],[x0]],Flexion!D$11:Z$11,1)</f>
        <v>6</v>
      </c>
      <c r="C196" s="83">
        <f>Tableau6[[#This Row],[N° pas]]*$A$2</f>
        <v>2790</v>
      </c>
      <c r="D196" s="101">
        <f>IF($B196=$B195,Tableau6[[#This Row],[x0]],INDEX(Flexion!D$11:Z$11,$B196))</f>
        <v>2790</v>
      </c>
      <c r="E196" s="83" t="str">
        <f>IF(B196=B195,"-",VALUE(INDEX(Flexion!D$10:Z$10,Tableau6[[#This Row],[Col.]])))</f>
        <v>-</v>
      </c>
      <c r="F196" s="83" t="str">
        <f>IF(E196="-","-",IF(INDEX(Flexion!D$12:Z$12,Tableau6[[#This Row],[Col.]])="","-",INDEX(Flexion!D$12:Z$12,Tableau6[[#This Row],[Col.]])))</f>
        <v>-</v>
      </c>
      <c r="G196" s="84">
        <f>IF(Tableau6[[#This Row],[Nœud]]&lt;&gt;"-",INDEX(Flexion!D$13:Z$13,Tableau6[[#This Row],[Col.]]),)</f>
        <v>0</v>
      </c>
      <c r="H196" s="83">
        <f>IF(Tableau6[[#This Row],[Appui]]&lt;&gt;"-",INDEX(Flexion!D$14:Z$14,Tableau6[[#This Row],[Col.]]),)</f>
        <v>0</v>
      </c>
      <c r="I196" s="92">
        <f>$I195+($D196-$D195)*(SUM($G$10:$G195,$H$10:$H195))</f>
        <v>0</v>
      </c>
      <c r="J196" s="84">
        <f>INDEX(Flexion!D$16:Z$16,Tableau6[[#This Row],[Col.]])*($D197-$D196)</f>
        <v>-30</v>
      </c>
      <c r="K196" s="83">
        <f>IF(B196=B195,0,INDEX(Flexion!D$20:Z$20,Tableau6[[#This Row],[Col.]]))</f>
        <v>0</v>
      </c>
      <c r="L196" s="92">
        <f>$L195+($D196-$D195)*(SUM($J$10:$J195,$K$10:$K195)-$J195/2)</f>
        <v>-44100</v>
      </c>
      <c r="M196" s="84">
        <f>Tableau6[[#This Row],[Fr nod.]]+Tableau6[[#This Row],[Fr lin.]]</f>
        <v>0</v>
      </c>
      <c r="N196" s="92">
        <f>Tableau6[[#This Row],[Mt nod.]]+Tableau6[[#This Row],[Mt lin.]]</f>
        <v>-44100</v>
      </c>
      <c r="O196" s="82">
        <f t="shared" si="19"/>
        <v>262862000</v>
      </c>
      <c r="P196" s="82">
        <f t="shared" ca="1" si="15"/>
        <v>2.9238392843219165E-4</v>
      </c>
      <c r="Q196" s="82">
        <f t="shared" si="20"/>
        <v>385699295100</v>
      </c>
      <c r="R196" s="82">
        <f t="shared" ca="1" si="16"/>
        <v>9.6366847460317318E-2</v>
      </c>
      <c r="S196" s="102">
        <f ca="1">OFFSET($A196,,CHOOSE(Flexion!$A$26,COLUMN($M$9)-1,COLUMN($N$9)-1,COLUMN($P$9)-1,COLUMN($R$9)-1))</f>
        <v>-44100</v>
      </c>
    </row>
    <row r="197" spans="1:19" x14ac:dyDescent="0.2">
      <c r="A197" s="83">
        <f t="shared" si="14"/>
        <v>187</v>
      </c>
      <c r="B197" s="83">
        <f>MATCH(Tableau6[[#This Row],[x0]],Flexion!D$11:Z$11,1)</f>
        <v>6</v>
      </c>
      <c r="C197" s="83">
        <f>Tableau6[[#This Row],[N° pas]]*$A$2</f>
        <v>2805</v>
      </c>
      <c r="D197" s="101">
        <f>IF($B197=$B196,Tableau6[[#This Row],[x0]],INDEX(Flexion!D$11:Z$11,$B197))</f>
        <v>2805</v>
      </c>
      <c r="E197" s="83" t="str">
        <f>IF(B197=B196,"-",VALUE(INDEX(Flexion!D$10:Z$10,Tableau6[[#This Row],[Col.]])))</f>
        <v>-</v>
      </c>
      <c r="F197" s="83" t="str">
        <f>IF(E197="-","-",IF(INDEX(Flexion!D$12:Z$12,Tableau6[[#This Row],[Col.]])="","-",INDEX(Flexion!D$12:Z$12,Tableau6[[#This Row],[Col.]])))</f>
        <v>-</v>
      </c>
      <c r="G197" s="84">
        <f>IF(Tableau6[[#This Row],[Nœud]]&lt;&gt;"-",INDEX(Flexion!D$13:Z$13,Tableau6[[#This Row],[Col.]]),)</f>
        <v>0</v>
      </c>
      <c r="H197" s="83">
        <f>IF(Tableau6[[#This Row],[Appui]]&lt;&gt;"-",INDEX(Flexion!D$14:Z$14,Tableau6[[#This Row],[Col.]]),)</f>
        <v>0</v>
      </c>
      <c r="I197" s="92">
        <f>$I196+($D197-$D196)*(SUM($G$10:$G196,$H$10:$H196))</f>
        <v>0</v>
      </c>
      <c r="J197" s="84">
        <f>INDEX(Flexion!D$16:Z$16,Tableau6[[#This Row],[Col.]])*($D198-$D197)</f>
        <v>-30</v>
      </c>
      <c r="K197" s="83">
        <f>IF(B197=B196,0,INDEX(Flexion!D$20:Z$20,Tableau6[[#This Row],[Col.]]))</f>
        <v>0</v>
      </c>
      <c r="L197" s="92">
        <f>$L196+($D197-$D196)*(SUM($J$10:$J196,$K$10:$K196)-$J196/2)</f>
        <v>-38025</v>
      </c>
      <c r="M197" s="84">
        <f>Tableau6[[#This Row],[Fr nod.]]+Tableau6[[#This Row],[Fr lin.]]</f>
        <v>0</v>
      </c>
      <c r="N197" s="92">
        <f>Tableau6[[#This Row],[Mt nod.]]+Tableau6[[#This Row],[Mt lin.]]</f>
        <v>-38025</v>
      </c>
      <c r="O197" s="82">
        <f t="shared" si="19"/>
        <v>262246062.5</v>
      </c>
      <c r="P197" s="82">
        <f t="shared" ca="1" si="15"/>
        <v>2.9066870286828186E-4</v>
      </c>
      <c r="Q197" s="82">
        <f t="shared" si="20"/>
        <v>389637605568.75</v>
      </c>
      <c r="R197" s="82">
        <f t="shared" ca="1" si="16"/>
        <v>0.10073974219507098</v>
      </c>
      <c r="S197" s="102">
        <f ca="1">OFFSET($A197,,CHOOSE(Flexion!$A$26,COLUMN($M$9)-1,COLUMN($N$9)-1,COLUMN($P$9)-1,COLUMN($R$9)-1))</f>
        <v>-38025</v>
      </c>
    </row>
    <row r="198" spans="1:19" x14ac:dyDescent="0.2">
      <c r="A198" s="83">
        <f t="shared" si="14"/>
        <v>188</v>
      </c>
      <c r="B198" s="83">
        <f>MATCH(Tableau6[[#This Row],[x0]],Flexion!D$11:Z$11,1)</f>
        <v>6</v>
      </c>
      <c r="C198" s="83">
        <f>Tableau6[[#This Row],[N° pas]]*$A$2</f>
        <v>2820</v>
      </c>
      <c r="D198" s="101">
        <f>IF($B198=$B197,Tableau6[[#This Row],[x0]],INDEX(Flexion!D$11:Z$11,$B198))</f>
        <v>2820</v>
      </c>
      <c r="E198" s="83" t="str">
        <f>IF(B198=B197,"-",VALUE(INDEX(Flexion!D$10:Z$10,Tableau6[[#This Row],[Col.]])))</f>
        <v>-</v>
      </c>
      <c r="F198" s="83" t="str">
        <f>IF(E198="-","-",IF(INDEX(Flexion!D$12:Z$12,Tableau6[[#This Row],[Col.]])="","-",INDEX(Flexion!D$12:Z$12,Tableau6[[#This Row],[Col.]])))</f>
        <v>-</v>
      </c>
      <c r="G198" s="84">
        <f>IF(Tableau6[[#This Row],[Nœud]]&lt;&gt;"-",INDEX(Flexion!D$13:Z$13,Tableau6[[#This Row],[Col.]]),)</f>
        <v>0</v>
      </c>
      <c r="H198" s="83">
        <f>IF(Tableau6[[#This Row],[Appui]]&lt;&gt;"-",INDEX(Flexion!D$14:Z$14,Tableau6[[#This Row],[Col.]]),)</f>
        <v>0</v>
      </c>
      <c r="I198" s="92">
        <f>$I197+($D198-$D197)*(SUM($G$10:$G197,$H$10:$H197))</f>
        <v>0</v>
      </c>
      <c r="J198" s="84">
        <f>INDEX(Flexion!D$16:Z$16,Tableau6[[#This Row],[Col.]])*($D199-$D198)</f>
        <v>-30</v>
      </c>
      <c r="K198" s="83">
        <f>IF(B198=B197,0,INDEX(Flexion!D$20:Z$20,Tableau6[[#This Row],[Col.]]))</f>
        <v>0</v>
      </c>
      <c r="L198" s="92">
        <f>$L197+($D198-$D197)*(SUM($J$10:$J197,$K$10:$K197)-$J197/2)</f>
        <v>-32400</v>
      </c>
      <c r="M198" s="84">
        <f>Tableau6[[#This Row],[Fr nod.]]+Tableau6[[#This Row],[Fr lin.]]</f>
        <v>0</v>
      </c>
      <c r="N198" s="92">
        <f>Tableau6[[#This Row],[Mt nod.]]+Tableau6[[#This Row],[Mt lin.]]</f>
        <v>-32400</v>
      </c>
      <c r="O198" s="82">
        <f t="shared" si="19"/>
        <v>261717875</v>
      </c>
      <c r="P198" s="82">
        <f t="shared" ca="1" si="15"/>
        <v>2.8919783820662769E-4</v>
      </c>
      <c r="Q198" s="82">
        <f t="shared" si="20"/>
        <v>393567335100</v>
      </c>
      <c r="R198" s="82">
        <f t="shared" ca="1" si="16"/>
        <v>0.10508874125313283</v>
      </c>
      <c r="S198" s="102">
        <f ca="1">OFFSET($A198,,CHOOSE(Flexion!$A$26,COLUMN($M$9)-1,COLUMN($N$9)-1,COLUMN($P$9)-1,COLUMN($R$9)-1))</f>
        <v>-32400</v>
      </c>
    </row>
    <row r="199" spans="1:19" x14ac:dyDescent="0.2">
      <c r="A199" s="83">
        <f t="shared" si="14"/>
        <v>189</v>
      </c>
      <c r="B199" s="83">
        <f>MATCH(Tableau6[[#This Row],[x0]],Flexion!D$11:Z$11,1)</f>
        <v>6</v>
      </c>
      <c r="C199" s="83">
        <f>Tableau6[[#This Row],[N° pas]]*$A$2</f>
        <v>2835</v>
      </c>
      <c r="D199" s="101">
        <f>IF($B199=$B198,Tableau6[[#This Row],[x0]],INDEX(Flexion!D$11:Z$11,$B199))</f>
        <v>2835</v>
      </c>
      <c r="E199" s="83" t="str">
        <f>IF(B199=B198,"-",VALUE(INDEX(Flexion!D$10:Z$10,Tableau6[[#This Row],[Col.]])))</f>
        <v>-</v>
      </c>
      <c r="F199" s="83" t="str">
        <f>IF(E199="-","-",IF(INDEX(Flexion!D$12:Z$12,Tableau6[[#This Row],[Col.]])="","-",INDEX(Flexion!D$12:Z$12,Tableau6[[#This Row],[Col.]])))</f>
        <v>-</v>
      </c>
      <c r="G199" s="84">
        <f>IF(Tableau6[[#This Row],[Nœud]]&lt;&gt;"-",INDEX(Flexion!D$13:Z$13,Tableau6[[#This Row],[Col.]]),)</f>
        <v>0</v>
      </c>
      <c r="H199" s="83">
        <f>IF(Tableau6[[#This Row],[Appui]]&lt;&gt;"-",INDEX(Flexion!D$14:Z$14,Tableau6[[#This Row],[Col.]]),)</f>
        <v>0</v>
      </c>
      <c r="I199" s="92">
        <f>$I198+($D199-$D198)*(SUM($G$10:$G198,$H$10:$H198))</f>
        <v>0</v>
      </c>
      <c r="J199" s="84">
        <f>INDEX(Flexion!D$16:Z$16,Tableau6[[#This Row],[Col.]])*($D200-$D199)</f>
        <v>-30</v>
      </c>
      <c r="K199" s="83">
        <f>IF(B199=B198,0,INDEX(Flexion!D$20:Z$20,Tableau6[[#This Row],[Col.]]))</f>
        <v>0</v>
      </c>
      <c r="L199" s="92">
        <f>$L198+($D199-$D198)*(SUM($J$10:$J198,$K$10:$K198)-$J198/2)</f>
        <v>-27225</v>
      </c>
      <c r="M199" s="84">
        <f>Tableau6[[#This Row],[Fr nod.]]+Tableau6[[#This Row],[Fr lin.]]</f>
        <v>0</v>
      </c>
      <c r="N199" s="92">
        <f>Tableau6[[#This Row],[Mt nod.]]+Tableau6[[#This Row],[Mt lin.]]</f>
        <v>-27225</v>
      </c>
      <c r="O199" s="82">
        <f t="shared" si="19"/>
        <v>261270687.5</v>
      </c>
      <c r="P199" s="82">
        <f t="shared" ca="1" si="15"/>
        <v>2.8795253745474803E-4</v>
      </c>
      <c r="Q199" s="82">
        <f t="shared" si="20"/>
        <v>397489749318.75</v>
      </c>
      <c r="R199" s="82">
        <f t="shared" ca="1" si="16"/>
        <v>0.10941736907059318</v>
      </c>
      <c r="S199" s="102">
        <f ca="1">OFFSET($A199,,CHOOSE(Flexion!$A$26,COLUMN($M$9)-1,COLUMN($N$9)-1,COLUMN($P$9)-1,COLUMN($R$9)-1))</f>
        <v>-27225</v>
      </c>
    </row>
    <row r="200" spans="1:19" x14ac:dyDescent="0.2">
      <c r="A200" s="83">
        <f t="shared" si="14"/>
        <v>190</v>
      </c>
      <c r="B200" s="83">
        <f>MATCH(Tableau6[[#This Row],[x0]],Flexion!D$11:Z$11,1)</f>
        <v>6</v>
      </c>
      <c r="C200" s="83">
        <f>Tableau6[[#This Row],[N° pas]]*$A$2</f>
        <v>2850</v>
      </c>
      <c r="D200" s="101">
        <f>IF($B200=$B199,Tableau6[[#This Row],[x0]],INDEX(Flexion!D$11:Z$11,$B200))</f>
        <v>2850</v>
      </c>
      <c r="E200" s="83" t="str">
        <f>IF(B200=B199,"-",VALUE(INDEX(Flexion!D$10:Z$10,Tableau6[[#This Row],[Col.]])))</f>
        <v>-</v>
      </c>
      <c r="F200" s="83" t="str">
        <f>IF(E200="-","-",IF(INDEX(Flexion!D$12:Z$12,Tableau6[[#This Row],[Col.]])="","-",INDEX(Flexion!D$12:Z$12,Tableau6[[#This Row],[Col.]])))</f>
        <v>-</v>
      </c>
      <c r="G200" s="84">
        <f>IF(Tableau6[[#This Row],[Nœud]]&lt;&gt;"-",INDEX(Flexion!D$13:Z$13,Tableau6[[#This Row],[Col.]]),)</f>
        <v>0</v>
      </c>
      <c r="H200" s="83">
        <f>IF(Tableau6[[#This Row],[Appui]]&lt;&gt;"-",INDEX(Flexion!D$14:Z$14,Tableau6[[#This Row],[Col.]]),)</f>
        <v>0</v>
      </c>
      <c r="I200" s="92">
        <f>$I199+($D200-$D199)*(SUM($G$10:$G199,$H$10:$H199))</f>
        <v>0</v>
      </c>
      <c r="J200" s="84">
        <f>INDEX(Flexion!D$16:Z$16,Tableau6[[#This Row],[Col.]])*($D201-$D200)</f>
        <v>-30</v>
      </c>
      <c r="K200" s="83">
        <f>IF(B200=B199,0,INDEX(Flexion!D$20:Z$20,Tableau6[[#This Row],[Col.]]))</f>
        <v>0</v>
      </c>
      <c r="L200" s="92">
        <f>$L199+($D200-$D199)*(SUM($J$10:$J199,$K$10:$K199)-$J199/2)</f>
        <v>-22500</v>
      </c>
      <c r="M200" s="84">
        <f>Tableau6[[#This Row],[Fr nod.]]+Tableau6[[#This Row],[Fr lin.]]</f>
        <v>0</v>
      </c>
      <c r="N200" s="92">
        <f>Tableau6[[#This Row],[Mt nod.]]+Tableau6[[#This Row],[Mt lin.]]</f>
        <v>-22500</v>
      </c>
      <c r="O200" s="82">
        <f t="shared" si="19"/>
        <v>260897750</v>
      </c>
      <c r="P200" s="82">
        <f t="shared" ca="1" si="15"/>
        <v>2.869140036201615E-4</v>
      </c>
      <c r="Q200" s="82">
        <f t="shared" si="20"/>
        <v>401406012600</v>
      </c>
      <c r="R200" s="82">
        <f t="shared" ca="1" si="16"/>
        <v>0.1137288681286549</v>
      </c>
      <c r="S200" s="102">
        <f ca="1">OFFSET($A200,,CHOOSE(Flexion!$A$26,COLUMN($M$9)-1,COLUMN($N$9)-1,COLUMN($P$9)-1,COLUMN($R$9)-1))</f>
        <v>-22500</v>
      </c>
    </row>
    <row r="201" spans="1:19" x14ac:dyDescent="0.2">
      <c r="A201" s="83">
        <f t="shared" si="14"/>
        <v>191</v>
      </c>
      <c r="B201" s="83">
        <f>MATCH(Tableau6[[#This Row],[x0]],Flexion!D$11:Z$11,1)</f>
        <v>6</v>
      </c>
      <c r="C201" s="83">
        <f>Tableau6[[#This Row],[N° pas]]*$A$2</f>
        <v>2865</v>
      </c>
      <c r="D201" s="101">
        <f>IF($B201=$B200,Tableau6[[#This Row],[x0]],INDEX(Flexion!D$11:Z$11,$B201))</f>
        <v>2865</v>
      </c>
      <c r="E201" s="83" t="str">
        <f>IF(B201=B200,"-",VALUE(INDEX(Flexion!D$10:Z$10,Tableau6[[#This Row],[Col.]])))</f>
        <v>-</v>
      </c>
      <c r="F201" s="83" t="str">
        <f>IF(E201="-","-",IF(INDEX(Flexion!D$12:Z$12,Tableau6[[#This Row],[Col.]])="","-",INDEX(Flexion!D$12:Z$12,Tableau6[[#This Row],[Col.]])))</f>
        <v>-</v>
      </c>
      <c r="G201" s="84">
        <f>IF(Tableau6[[#This Row],[Nœud]]&lt;&gt;"-",INDEX(Flexion!D$13:Z$13,Tableau6[[#This Row],[Col.]]),)</f>
        <v>0</v>
      </c>
      <c r="H201" s="83">
        <f>IF(Tableau6[[#This Row],[Appui]]&lt;&gt;"-",INDEX(Flexion!D$14:Z$14,Tableau6[[#This Row],[Col.]]),)</f>
        <v>0</v>
      </c>
      <c r="I201" s="92">
        <f>$I200+($D201-$D200)*(SUM($G$10:$G200,$H$10:$H200))</f>
        <v>0</v>
      </c>
      <c r="J201" s="84">
        <f>INDEX(Flexion!D$16:Z$16,Tableau6[[#This Row],[Col.]])*($D202-$D201)</f>
        <v>-30</v>
      </c>
      <c r="K201" s="83">
        <f>IF(B201=B200,0,INDEX(Flexion!D$20:Z$20,Tableau6[[#This Row],[Col.]]))</f>
        <v>0</v>
      </c>
      <c r="L201" s="92">
        <f>$L200+($D201-$D200)*(SUM($J$10:$J200,$K$10:$K200)-$J200/2)</f>
        <v>-18225</v>
      </c>
      <c r="M201" s="84">
        <f>Tableau6[[#This Row],[Fr nod.]]+Tableau6[[#This Row],[Fr lin.]]</f>
        <v>0</v>
      </c>
      <c r="N201" s="92">
        <f>Tableau6[[#This Row],[Mt nod.]]+Tableau6[[#This Row],[Mt lin.]]</f>
        <v>-18225</v>
      </c>
      <c r="O201" s="82">
        <f t="shared" si="19"/>
        <v>260592312.5</v>
      </c>
      <c r="P201" s="82">
        <f t="shared" ca="1" si="15"/>
        <v>2.8606343971038711E-4</v>
      </c>
      <c r="Q201" s="82">
        <f t="shared" si="20"/>
        <v>405317188068.75</v>
      </c>
      <c r="R201" s="82">
        <f t="shared" ca="1" si="16"/>
        <v>0.11802619895363409</v>
      </c>
      <c r="S201" s="102">
        <f ca="1">OFFSET($A201,,CHOOSE(Flexion!$A$26,COLUMN($M$9)-1,COLUMN($N$9)-1,COLUMN($P$9)-1,COLUMN($R$9)-1))</f>
        <v>-18225</v>
      </c>
    </row>
    <row r="202" spans="1:19" x14ac:dyDescent="0.2">
      <c r="A202" s="83">
        <f t="shared" ref="A202:A210" si="21">A201+1</f>
        <v>192</v>
      </c>
      <c r="B202" s="83">
        <f>MATCH(Tableau6[[#This Row],[x0]],Flexion!D$11:Z$11,1)</f>
        <v>6</v>
      </c>
      <c r="C202" s="83">
        <f>Tableau6[[#This Row],[N° pas]]*$A$2</f>
        <v>2880</v>
      </c>
      <c r="D202" s="101">
        <f>IF($B202=$B201,Tableau6[[#This Row],[x0]],INDEX(Flexion!D$11:Z$11,$B202))</f>
        <v>2880</v>
      </c>
      <c r="E202" s="83" t="str">
        <f>IF(B202=B201,"-",VALUE(INDEX(Flexion!D$10:Z$10,Tableau6[[#This Row],[Col.]])))</f>
        <v>-</v>
      </c>
      <c r="F202" s="83" t="str">
        <f>IF(E202="-","-",IF(INDEX(Flexion!D$12:Z$12,Tableau6[[#This Row],[Col.]])="","-",INDEX(Flexion!D$12:Z$12,Tableau6[[#This Row],[Col.]])))</f>
        <v>-</v>
      </c>
      <c r="G202" s="84">
        <f>IF(Tableau6[[#This Row],[Nœud]]&lt;&gt;"-",INDEX(Flexion!D$13:Z$13,Tableau6[[#This Row],[Col.]]),)</f>
        <v>0</v>
      </c>
      <c r="H202" s="83">
        <f>IF(Tableau6[[#This Row],[Appui]]&lt;&gt;"-",INDEX(Flexion!D$14:Z$14,Tableau6[[#This Row],[Col.]]),)</f>
        <v>0</v>
      </c>
      <c r="I202" s="92">
        <f>$I201+($D202-$D201)*(SUM($G$10:$G201,$H$10:$H201))</f>
        <v>0</v>
      </c>
      <c r="J202" s="84">
        <f>INDEX(Flexion!D$16:Z$16,Tableau6[[#This Row],[Col.]])*($D203-$D202)</f>
        <v>-30</v>
      </c>
      <c r="K202" s="83">
        <f>IF(B202=B201,0,INDEX(Flexion!D$20:Z$20,Tableau6[[#This Row],[Col.]]))</f>
        <v>0</v>
      </c>
      <c r="L202" s="92">
        <f>$L201+($D202-$D201)*(SUM($J$10:$J201,$K$10:$K201)-$J201/2)</f>
        <v>-14400</v>
      </c>
      <c r="M202" s="84">
        <f>Tableau6[[#This Row],[Fr nod.]]+Tableau6[[#This Row],[Fr lin.]]</f>
        <v>0</v>
      </c>
      <c r="N202" s="92">
        <f>Tableau6[[#This Row],[Mt nod.]]+Tableau6[[#This Row],[Mt lin.]]</f>
        <v>-14400</v>
      </c>
      <c r="O202" s="82">
        <f t="shared" si="19"/>
        <v>260347625</v>
      </c>
      <c r="P202" s="82">
        <f t="shared" ref="P202:P210" ca="1" si="22">$L$2*O202+$L$3</f>
        <v>2.8538204873294345E-4</v>
      </c>
      <c r="Q202" s="82">
        <f t="shared" si="20"/>
        <v>409224237600</v>
      </c>
      <c r="R202" s="82">
        <f t="shared" ref="R202:R210" ca="1" si="23">$L$2*Q202+$L$3*D202+$L$4</f>
        <v>0.12231204011695918</v>
      </c>
      <c r="S202" s="102">
        <f ca="1">OFFSET($A202,,CHOOSE(Flexion!$A$26,COLUMN($M$9)-1,COLUMN($N$9)-1,COLUMN($P$9)-1,COLUMN($R$9)-1))</f>
        <v>-14400</v>
      </c>
    </row>
    <row r="203" spans="1:19" x14ac:dyDescent="0.2">
      <c r="A203" s="83">
        <f t="shared" si="21"/>
        <v>193</v>
      </c>
      <c r="B203" s="83">
        <f>MATCH(Tableau6[[#This Row],[x0]],Flexion!D$11:Z$11,1)</f>
        <v>6</v>
      </c>
      <c r="C203" s="83">
        <f>Tableau6[[#This Row],[N° pas]]*$A$2</f>
        <v>2895</v>
      </c>
      <c r="D203" s="101">
        <f>IF($B203=$B202,Tableau6[[#This Row],[x0]],INDEX(Flexion!D$11:Z$11,$B203))</f>
        <v>2895</v>
      </c>
      <c r="E203" s="83" t="str">
        <f>IF(B203=B202,"-",VALUE(INDEX(Flexion!D$10:Z$10,Tableau6[[#This Row],[Col.]])))</f>
        <v>-</v>
      </c>
      <c r="F203" s="83" t="str">
        <f>IF(E203="-","-",IF(INDEX(Flexion!D$12:Z$12,Tableau6[[#This Row],[Col.]])="","-",INDEX(Flexion!D$12:Z$12,Tableau6[[#This Row],[Col.]])))</f>
        <v>-</v>
      </c>
      <c r="G203" s="84">
        <f>IF(Tableau6[[#This Row],[Nœud]]&lt;&gt;"-",INDEX(Flexion!D$13:Z$13,Tableau6[[#This Row],[Col.]]),)</f>
        <v>0</v>
      </c>
      <c r="H203" s="83">
        <f>IF(Tableau6[[#This Row],[Appui]]&lt;&gt;"-",INDEX(Flexion!D$14:Z$14,Tableau6[[#This Row],[Col.]]),)</f>
        <v>0</v>
      </c>
      <c r="I203" s="92">
        <f>$I202+($D203-$D202)*(SUM($G$10:$G202,$H$10:$H202))</f>
        <v>0</v>
      </c>
      <c r="J203" s="84">
        <f>INDEX(Flexion!D$16:Z$16,Tableau6[[#This Row],[Col.]])*($D204-$D203)</f>
        <v>-30</v>
      </c>
      <c r="K203" s="83">
        <f>IF(B203=B202,0,INDEX(Flexion!D$20:Z$20,Tableau6[[#This Row],[Col.]]))</f>
        <v>0</v>
      </c>
      <c r="L203" s="92">
        <f>$L202+($D203-$D202)*(SUM($J$10:$J202,$K$10:$K202)-$J202/2)</f>
        <v>-11025</v>
      </c>
      <c r="M203" s="84">
        <f>Tableau6[[#This Row],[Fr nod.]]+Tableau6[[#This Row],[Fr lin.]]</f>
        <v>0</v>
      </c>
      <c r="N203" s="92">
        <f>Tableau6[[#This Row],[Mt nod.]]+Tableau6[[#This Row],[Mt lin.]]</f>
        <v>-11025</v>
      </c>
      <c r="O203" s="82">
        <f t="shared" ref="O203:O210" si="24">(D203-D202)*(N203+N202)/2+O202</f>
        <v>260156937.5</v>
      </c>
      <c r="P203" s="82">
        <f t="shared" ca="1" si="22"/>
        <v>2.8485103369534954E-4</v>
      </c>
      <c r="Q203" s="82">
        <f t="shared" ref="Q203:Q210" si="25">Q202+((D203-D202)*(O203+O202)/2)</f>
        <v>413128021818.75</v>
      </c>
      <c r="R203" s="82">
        <f t="shared" ca="1" si="23"/>
        <v>0.12658878823517139</v>
      </c>
      <c r="S203" s="102">
        <f ca="1">OFFSET($A203,,CHOOSE(Flexion!$A$26,COLUMN($M$9)-1,COLUMN($N$9)-1,COLUMN($P$9)-1,COLUMN($R$9)-1))</f>
        <v>-11025</v>
      </c>
    </row>
    <row r="204" spans="1:19" x14ac:dyDescent="0.2">
      <c r="A204" s="83">
        <f t="shared" si="21"/>
        <v>194</v>
      </c>
      <c r="B204" s="83">
        <f>MATCH(Tableau6[[#This Row],[x0]],Flexion!D$11:Z$11,1)</f>
        <v>6</v>
      </c>
      <c r="C204" s="83">
        <f>Tableau6[[#This Row],[N° pas]]*$A$2</f>
        <v>2910</v>
      </c>
      <c r="D204" s="101">
        <f>IF($B204=$B203,Tableau6[[#This Row],[x0]],INDEX(Flexion!D$11:Z$11,$B204))</f>
        <v>2910</v>
      </c>
      <c r="E204" s="83" t="str">
        <f>IF(B204=B203,"-",VALUE(INDEX(Flexion!D$10:Z$10,Tableau6[[#This Row],[Col.]])))</f>
        <v>-</v>
      </c>
      <c r="F204" s="83" t="str">
        <f>IF(E204="-","-",IF(INDEX(Flexion!D$12:Z$12,Tableau6[[#This Row],[Col.]])="","-",INDEX(Flexion!D$12:Z$12,Tableau6[[#This Row],[Col.]])))</f>
        <v>-</v>
      </c>
      <c r="G204" s="84">
        <f>IF(Tableau6[[#This Row],[Nœud]]&lt;&gt;"-",INDEX(Flexion!D$13:Z$13,Tableau6[[#This Row],[Col.]]),)</f>
        <v>0</v>
      </c>
      <c r="H204" s="83">
        <f>IF(Tableau6[[#This Row],[Appui]]&lt;&gt;"-",INDEX(Flexion!D$14:Z$14,Tableau6[[#This Row],[Col.]]),)</f>
        <v>0</v>
      </c>
      <c r="I204" s="92">
        <f>$I203+($D204-$D203)*(SUM($G$10:$G203,$H$10:$H203))</f>
        <v>0</v>
      </c>
      <c r="J204" s="84">
        <f>INDEX(Flexion!D$16:Z$16,Tableau6[[#This Row],[Col.]])*($D205-$D204)</f>
        <v>-30</v>
      </c>
      <c r="K204" s="83">
        <f>IF(B204=B203,0,INDEX(Flexion!D$20:Z$20,Tableau6[[#This Row],[Col.]]))</f>
        <v>0</v>
      </c>
      <c r="L204" s="92">
        <f>$L203+($D204-$D203)*(SUM($J$10:$J203,$K$10:$K203)-$J203/2)</f>
        <v>-8100</v>
      </c>
      <c r="M204" s="84">
        <f>Tableau6[[#This Row],[Fr nod.]]+Tableau6[[#This Row],[Fr lin.]]</f>
        <v>0</v>
      </c>
      <c r="N204" s="92">
        <f>Tableau6[[#This Row],[Mt nod.]]+Tableau6[[#This Row],[Mt lin.]]</f>
        <v>-8100</v>
      </c>
      <c r="O204" s="82">
        <f t="shared" si="24"/>
        <v>260013500</v>
      </c>
      <c r="P204" s="82">
        <f t="shared" ca="1" si="22"/>
        <v>2.8445159760512388E-4</v>
      </c>
      <c r="Q204" s="82">
        <f t="shared" si="25"/>
        <v>417029300100</v>
      </c>
      <c r="R204" s="82">
        <f t="shared" ca="1" si="23"/>
        <v>0.13085855796992496</v>
      </c>
      <c r="S204" s="102">
        <f ca="1">OFFSET($A204,,CHOOSE(Flexion!$A$26,COLUMN($M$9)-1,COLUMN($N$9)-1,COLUMN($P$9)-1,COLUMN($R$9)-1))</f>
        <v>-8100</v>
      </c>
    </row>
    <row r="205" spans="1:19" x14ac:dyDescent="0.2">
      <c r="A205" s="83">
        <f t="shared" si="21"/>
        <v>195</v>
      </c>
      <c r="B205" s="83">
        <f>MATCH(Tableau6[[#This Row],[x0]],Flexion!D$11:Z$11,1)</f>
        <v>6</v>
      </c>
      <c r="C205" s="83">
        <f>Tableau6[[#This Row],[N° pas]]*$A$2</f>
        <v>2925</v>
      </c>
      <c r="D205" s="101">
        <f>IF($B205=$B204,Tableau6[[#This Row],[x0]],INDEX(Flexion!D$11:Z$11,$B205))</f>
        <v>2925</v>
      </c>
      <c r="E205" s="83" t="str">
        <f>IF(B205=B204,"-",VALUE(INDEX(Flexion!D$10:Z$10,Tableau6[[#This Row],[Col.]])))</f>
        <v>-</v>
      </c>
      <c r="F205" s="83" t="str">
        <f>IF(E205="-","-",IF(INDEX(Flexion!D$12:Z$12,Tableau6[[#This Row],[Col.]])="","-",INDEX(Flexion!D$12:Z$12,Tableau6[[#This Row],[Col.]])))</f>
        <v>-</v>
      </c>
      <c r="G205" s="84">
        <f>IF(Tableau6[[#This Row],[Nœud]]&lt;&gt;"-",INDEX(Flexion!D$13:Z$13,Tableau6[[#This Row],[Col.]]),)</f>
        <v>0</v>
      </c>
      <c r="H205" s="83">
        <f>IF(Tableau6[[#This Row],[Appui]]&lt;&gt;"-",INDEX(Flexion!D$14:Z$14,Tableau6[[#This Row],[Col.]]),)</f>
        <v>0</v>
      </c>
      <c r="I205" s="92">
        <f>$I204+($D205-$D204)*(SUM($G$10:$G204,$H$10:$H204))</f>
        <v>0</v>
      </c>
      <c r="J205" s="84">
        <f>INDEX(Flexion!D$16:Z$16,Tableau6[[#This Row],[Col.]])*($D206-$D205)</f>
        <v>-30</v>
      </c>
      <c r="K205" s="83">
        <f>IF(B205=B204,0,INDEX(Flexion!D$20:Z$20,Tableau6[[#This Row],[Col.]]))</f>
        <v>0</v>
      </c>
      <c r="L205" s="92">
        <f>$L204+($D205-$D204)*(SUM($J$10:$J204,$K$10:$K204)-$J204/2)</f>
        <v>-5625</v>
      </c>
      <c r="M205" s="84">
        <f>Tableau6[[#This Row],[Fr nod.]]+Tableau6[[#This Row],[Fr lin.]]</f>
        <v>0</v>
      </c>
      <c r="N205" s="92">
        <f>Tableau6[[#This Row],[Mt nod.]]+Tableau6[[#This Row],[Mt lin.]]</f>
        <v>-5625</v>
      </c>
      <c r="O205" s="82">
        <f t="shared" si="24"/>
        <v>259910562.5</v>
      </c>
      <c r="P205" s="82">
        <f t="shared" ca="1" si="22"/>
        <v>2.8416494346978559E-4</v>
      </c>
      <c r="Q205" s="82">
        <f t="shared" si="25"/>
        <v>420928730568.75</v>
      </c>
      <c r="R205" s="82">
        <f t="shared" ca="1" si="23"/>
        <v>0.13512318202798668</v>
      </c>
      <c r="S205" s="102">
        <f ca="1">OFFSET($A205,,CHOOSE(Flexion!$A$26,COLUMN($M$9)-1,COLUMN($N$9)-1,COLUMN($P$9)-1,COLUMN($R$9)-1))</f>
        <v>-5625</v>
      </c>
    </row>
    <row r="206" spans="1:19" x14ac:dyDescent="0.2">
      <c r="A206" s="83">
        <f t="shared" si="21"/>
        <v>196</v>
      </c>
      <c r="B206" s="83">
        <f>MATCH(Tableau6[[#This Row],[x0]],Flexion!D$11:Z$11,1)</f>
        <v>6</v>
      </c>
      <c r="C206" s="83">
        <f>Tableau6[[#This Row],[N° pas]]*$A$2</f>
        <v>2940</v>
      </c>
      <c r="D206" s="101">
        <f>IF($B206=$B205,Tableau6[[#This Row],[x0]],INDEX(Flexion!D$11:Z$11,$B206))</f>
        <v>2940</v>
      </c>
      <c r="E206" s="83" t="str">
        <f>IF(B206=B205,"-",VALUE(INDEX(Flexion!D$10:Z$10,Tableau6[[#This Row],[Col.]])))</f>
        <v>-</v>
      </c>
      <c r="F206" s="83" t="str">
        <f>IF(E206="-","-",IF(INDEX(Flexion!D$12:Z$12,Tableau6[[#This Row],[Col.]])="","-",INDEX(Flexion!D$12:Z$12,Tableau6[[#This Row],[Col.]])))</f>
        <v>-</v>
      </c>
      <c r="G206" s="84">
        <f>IF(Tableau6[[#This Row],[Nœud]]&lt;&gt;"-",INDEX(Flexion!D$13:Z$13,Tableau6[[#This Row],[Col.]]),)</f>
        <v>0</v>
      </c>
      <c r="H206" s="83">
        <f>IF(Tableau6[[#This Row],[Appui]]&lt;&gt;"-",INDEX(Flexion!D$14:Z$14,Tableau6[[#This Row],[Col.]]),)</f>
        <v>0</v>
      </c>
      <c r="I206" s="92">
        <f>$I205+($D206-$D205)*(SUM($G$10:$G205,$H$10:$H205))</f>
        <v>0</v>
      </c>
      <c r="J206" s="84">
        <f>INDEX(Flexion!D$16:Z$16,Tableau6[[#This Row],[Col.]])*($D207-$D206)</f>
        <v>-30</v>
      </c>
      <c r="K206" s="83">
        <f>IF(B206=B205,0,INDEX(Flexion!D$20:Z$20,Tableau6[[#This Row],[Col.]]))</f>
        <v>0</v>
      </c>
      <c r="L206" s="92">
        <f>$L205+($D206-$D205)*(SUM($J$10:$J205,$K$10:$K205)-$J205/2)</f>
        <v>-3600</v>
      </c>
      <c r="M206" s="84">
        <f>Tableau6[[#This Row],[Fr nod.]]+Tableau6[[#This Row],[Fr lin.]]</f>
        <v>0</v>
      </c>
      <c r="N206" s="92">
        <f>Tableau6[[#This Row],[Mt nod.]]+Tableau6[[#This Row],[Mt lin.]]</f>
        <v>-3600</v>
      </c>
      <c r="O206" s="82">
        <f t="shared" si="24"/>
        <v>259841375</v>
      </c>
      <c r="P206" s="82">
        <f t="shared" ca="1" si="22"/>
        <v>2.8397227429685325E-4</v>
      </c>
      <c r="Q206" s="82">
        <f t="shared" si="25"/>
        <v>424826870100</v>
      </c>
      <c r="R206" s="82">
        <f t="shared" ca="1" si="23"/>
        <v>0.13938421116123634</v>
      </c>
      <c r="S206" s="102">
        <f ca="1">OFFSET($A206,,CHOOSE(Flexion!$A$26,COLUMN($M$9)-1,COLUMN($N$9)-1,COLUMN($P$9)-1,COLUMN($R$9)-1))</f>
        <v>-3600</v>
      </c>
    </row>
    <row r="207" spans="1:19" x14ac:dyDescent="0.2">
      <c r="A207" s="83">
        <f t="shared" si="21"/>
        <v>197</v>
      </c>
      <c r="B207" s="83">
        <f>MATCH(Tableau6[[#This Row],[x0]],Flexion!D$11:Z$11,1)</f>
        <v>6</v>
      </c>
      <c r="C207" s="83">
        <f>Tableau6[[#This Row],[N° pas]]*$A$2</f>
        <v>2955</v>
      </c>
      <c r="D207" s="101">
        <f>IF($B207=$B206,Tableau6[[#This Row],[x0]],INDEX(Flexion!D$11:Z$11,$B207))</f>
        <v>2955</v>
      </c>
      <c r="E207" s="83" t="str">
        <f>IF(B207=B206,"-",VALUE(INDEX(Flexion!D$10:Z$10,Tableau6[[#This Row],[Col.]])))</f>
        <v>-</v>
      </c>
      <c r="F207" s="83" t="str">
        <f>IF(E207="-","-",IF(INDEX(Flexion!D$12:Z$12,Tableau6[[#This Row],[Col.]])="","-",INDEX(Flexion!D$12:Z$12,Tableau6[[#This Row],[Col.]])))</f>
        <v>-</v>
      </c>
      <c r="G207" s="84">
        <f>IF(Tableau6[[#This Row],[Nœud]]&lt;&gt;"-",INDEX(Flexion!D$13:Z$13,Tableau6[[#This Row],[Col.]]),)</f>
        <v>0</v>
      </c>
      <c r="H207" s="83">
        <f>IF(Tableau6[[#This Row],[Appui]]&lt;&gt;"-",INDEX(Flexion!D$14:Z$14,Tableau6[[#This Row],[Col.]]),)</f>
        <v>0</v>
      </c>
      <c r="I207" s="92">
        <f>$I206+($D207-$D206)*(SUM($G$10:$G206,$H$10:$H206))</f>
        <v>0</v>
      </c>
      <c r="J207" s="84">
        <f>INDEX(Flexion!D$16:Z$16,Tableau6[[#This Row],[Col.]])*($D208-$D207)</f>
        <v>-30</v>
      </c>
      <c r="K207" s="83">
        <f>IF(B207=B206,0,INDEX(Flexion!D$20:Z$20,Tableau6[[#This Row],[Col.]]))</f>
        <v>0</v>
      </c>
      <c r="L207" s="92">
        <f>$L206+($D207-$D206)*(SUM($J$10:$J206,$K$10:$K206)-$J206/2)</f>
        <v>-2025</v>
      </c>
      <c r="M207" s="84">
        <f>Tableau6[[#This Row],[Fr nod.]]+Tableau6[[#This Row],[Fr lin.]]</f>
        <v>0</v>
      </c>
      <c r="N207" s="92">
        <f>Tableau6[[#This Row],[Mt nod.]]+Tableau6[[#This Row],[Mt lin.]]</f>
        <v>-2025</v>
      </c>
      <c r="O207" s="82">
        <f t="shared" si="24"/>
        <v>259799187.5</v>
      </c>
      <c r="P207" s="82">
        <f t="shared" ca="1" si="22"/>
        <v>2.8385479309384569E-4</v>
      </c>
      <c r="Q207" s="82">
        <f t="shared" si="25"/>
        <v>428724174318.75</v>
      </c>
      <c r="R207" s="82">
        <f t="shared" ca="1" si="23"/>
        <v>0.14364291416666652</v>
      </c>
      <c r="S207" s="102">
        <f ca="1">OFFSET($A207,,CHOOSE(Flexion!$A$26,COLUMN($M$9)-1,COLUMN($N$9)-1,COLUMN($P$9)-1,COLUMN($R$9)-1))</f>
        <v>-2025</v>
      </c>
    </row>
    <row r="208" spans="1:19" x14ac:dyDescent="0.2">
      <c r="A208" s="83">
        <f t="shared" si="21"/>
        <v>198</v>
      </c>
      <c r="B208" s="83">
        <f>MATCH(Tableau6[[#This Row],[x0]],Flexion!D$11:Z$11,1)</f>
        <v>6</v>
      </c>
      <c r="C208" s="83">
        <f>Tableau6[[#This Row],[N° pas]]*$A$2</f>
        <v>2970</v>
      </c>
      <c r="D208" s="101">
        <f>IF($B208=$B207,Tableau6[[#This Row],[x0]],INDEX(Flexion!D$11:Z$11,$B208))</f>
        <v>2970</v>
      </c>
      <c r="E208" s="83" t="str">
        <f>IF(B208=B207,"-",VALUE(INDEX(Flexion!D$10:Z$10,Tableau6[[#This Row],[Col.]])))</f>
        <v>-</v>
      </c>
      <c r="F208" s="83" t="str">
        <f>IF(E208="-","-",IF(INDEX(Flexion!D$12:Z$12,Tableau6[[#This Row],[Col.]])="","-",INDEX(Flexion!D$12:Z$12,Tableau6[[#This Row],[Col.]])))</f>
        <v>-</v>
      </c>
      <c r="G208" s="84">
        <f>IF(Tableau6[[#This Row],[Nœud]]&lt;&gt;"-",INDEX(Flexion!D$13:Z$13,Tableau6[[#This Row],[Col.]]),)</f>
        <v>0</v>
      </c>
      <c r="H208" s="83">
        <f>IF(Tableau6[[#This Row],[Appui]]&lt;&gt;"-",INDEX(Flexion!D$14:Z$14,Tableau6[[#This Row],[Col.]]),)</f>
        <v>0</v>
      </c>
      <c r="I208" s="92">
        <f>$I207+($D208-$D207)*(SUM($G$10:$G207,$H$10:$H207))</f>
        <v>0</v>
      </c>
      <c r="J208" s="84">
        <f>INDEX(Flexion!D$16:Z$16,Tableau6[[#This Row],[Col.]])*($D209-$D208)</f>
        <v>-30</v>
      </c>
      <c r="K208" s="83">
        <f>IF(B208=B207,0,INDEX(Flexion!D$20:Z$20,Tableau6[[#This Row],[Col.]]))</f>
        <v>0</v>
      </c>
      <c r="L208" s="92">
        <f>$L207+($D208-$D207)*(SUM($J$10:$J207,$K$10:$K207)-$J207/2)</f>
        <v>-900</v>
      </c>
      <c r="M208" s="84">
        <f>Tableau6[[#This Row],[Fr nod.]]+Tableau6[[#This Row],[Fr lin.]]</f>
        <v>0</v>
      </c>
      <c r="N208" s="92">
        <f>Tableau6[[#This Row],[Mt nod.]]+Tableau6[[#This Row],[Mt lin.]]</f>
        <v>-900</v>
      </c>
      <c r="O208" s="82">
        <f t="shared" si="24"/>
        <v>259777250</v>
      </c>
      <c r="P208" s="82">
        <f t="shared" ca="1" si="22"/>
        <v>2.8379370286828182E-4</v>
      </c>
      <c r="Q208" s="82">
        <f t="shared" si="25"/>
        <v>432620997600</v>
      </c>
      <c r="R208" s="82">
        <f t="shared" ca="1" si="23"/>
        <v>0.1479002778863826</v>
      </c>
      <c r="S208" s="102">
        <f ca="1">OFFSET($A208,,CHOOSE(Flexion!$A$26,COLUMN($M$9)-1,COLUMN($N$9)-1,COLUMN($P$9)-1,COLUMN($R$9)-1))</f>
        <v>-900</v>
      </c>
    </row>
    <row r="209" spans="1:19" x14ac:dyDescent="0.2">
      <c r="A209" s="83">
        <f t="shared" si="21"/>
        <v>199</v>
      </c>
      <c r="B209" s="83">
        <f>MATCH(Tableau6[[#This Row],[x0]],Flexion!D$11:Z$11,1)</f>
        <v>6</v>
      </c>
      <c r="C209" s="83">
        <f>Tableau6[[#This Row],[N° pas]]*$A$2</f>
        <v>2985</v>
      </c>
      <c r="D209" s="101">
        <f>IF($B209=$B208,Tableau6[[#This Row],[x0]],INDEX(Flexion!D$11:Z$11,$B209))</f>
        <v>2985</v>
      </c>
      <c r="E209" s="83" t="str">
        <f>IF(B209=B208,"-",VALUE(INDEX(Flexion!D$10:Z$10,Tableau6[[#This Row],[Col.]])))</f>
        <v>-</v>
      </c>
      <c r="F209" s="83" t="str">
        <f>IF(E209="-","-",IF(INDEX(Flexion!D$12:Z$12,Tableau6[[#This Row],[Col.]])="","-",INDEX(Flexion!D$12:Z$12,Tableau6[[#This Row],[Col.]])))</f>
        <v>-</v>
      </c>
      <c r="G209" s="84">
        <f>IF(Tableau6[[#This Row],[Nœud]]&lt;&gt;"-",INDEX(Flexion!D$13:Z$13,Tableau6[[#This Row],[Col.]]),)</f>
        <v>0</v>
      </c>
      <c r="H209" s="83">
        <f>IF(Tableau6[[#This Row],[Appui]]&lt;&gt;"-",INDEX(Flexion!D$14:Z$14,Tableau6[[#This Row],[Col.]]),)</f>
        <v>0</v>
      </c>
      <c r="I209" s="92">
        <f>$I208+($D209-$D208)*(SUM($G$10:$G208,$H$10:$H208))</f>
        <v>0</v>
      </c>
      <c r="J209" s="84">
        <f>INDEX(Flexion!D$16:Z$16,Tableau6[[#This Row],[Col.]])*($D210-$D209)</f>
        <v>-30</v>
      </c>
      <c r="K209" s="83">
        <f>IF(B209=B208,0,INDEX(Flexion!D$20:Z$20,Tableau6[[#This Row],[Col.]]))</f>
        <v>0</v>
      </c>
      <c r="L209" s="92">
        <f>$L208+($D209-$D208)*(SUM($J$10:$J208,$K$10:$K208)-$J208/2)</f>
        <v>-225</v>
      </c>
      <c r="M209" s="84">
        <f>Tableau6[[#This Row],[Fr nod.]]+Tableau6[[#This Row],[Fr lin.]]</f>
        <v>0</v>
      </c>
      <c r="N209" s="92">
        <f>Tableau6[[#This Row],[Mt nod.]]+Tableau6[[#This Row],[Mt lin.]]</f>
        <v>-225</v>
      </c>
      <c r="O209" s="82">
        <f t="shared" si="24"/>
        <v>259768812.5</v>
      </c>
      <c r="P209" s="82">
        <f t="shared" ca="1" si="22"/>
        <v>2.8377020662768033E-4</v>
      </c>
      <c r="Q209" s="82">
        <f t="shared" si="25"/>
        <v>436517593068.75</v>
      </c>
      <c r="R209" s="82">
        <f t="shared" ca="1" si="23"/>
        <v>0.15215700720760228</v>
      </c>
      <c r="S209" s="102">
        <f ca="1">OFFSET($A209,,CHOOSE(Flexion!$A$26,COLUMN($M$9)-1,COLUMN($N$9)-1,COLUMN($P$9)-1,COLUMN($R$9)-1))</f>
        <v>-225</v>
      </c>
    </row>
    <row r="210" spans="1:19" x14ac:dyDescent="0.2">
      <c r="A210" s="83">
        <f t="shared" si="21"/>
        <v>200</v>
      </c>
      <c r="B210" s="83">
        <f>MATCH(Tableau6[[#This Row],[x0]],Flexion!D$11:Z$11,1)</f>
        <v>7</v>
      </c>
      <c r="C210" s="83">
        <f>Tableau6[[#This Row],[N° pas]]*$A$2</f>
        <v>3000</v>
      </c>
      <c r="D210" s="101">
        <f>IF($B210=$B209,Tableau6[[#This Row],[x0]],INDEX(Flexion!D$11:Z$11,$B210))</f>
        <v>3000</v>
      </c>
      <c r="E210" s="83">
        <f>IF(B210=B209,"-",VALUE(INDEX(Flexion!D$10:Z$10,Tableau6[[#This Row],[Col.]])))</f>
        <v>7</v>
      </c>
      <c r="F210" s="83" t="str">
        <f>IF(E210="-","-",IF(INDEX(Flexion!D$12:Z$12,Tableau6[[#This Row],[Col.]])="","-",INDEX(Flexion!D$12:Z$12,Tableau6[[#This Row],[Col.]])))</f>
        <v>-</v>
      </c>
      <c r="G210" s="84">
        <f>IF(Tableau6[[#This Row],[Nœud]]&lt;&gt;"-",INDEX(Flexion!D$13:Z$13,Tableau6[[#This Row],[Col.]]),)</f>
        <v>0</v>
      </c>
      <c r="H210" s="83">
        <f>IF(Tableau6[[#This Row],[Appui]]&lt;&gt;"-",INDEX(Flexion!D$14:Z$14,Tableau6[[#This Row],[Col.]]),)</f>
        <v>0</v>
      </c>
      <c r="I210" s="92">
        <f>$I209+($D210-$D209)*(SUM($G$10:$G209,$H$10:$H209))</f>
        <v>0</v>
      </c>
      <c r="J210" s="84">
        <f>INDEX(Flexion!D$16:Z$16,Tableau6[[#This Row],[Col.]])*($D211-$D210)</f>
        <v>0</v>
      </c>
      <c r="K210" s="83">
        <f>IF(B210=B209,0,INDEX(Flexion!D$20:Z$20,Tableau6[[#This Row],[Col.]]))</f>
        <v>0</v>
      </c>
      <c r="L210" s="92">
        <f>$L209+($D210-$D209)*(SUM($J$10:$J209,$K$10:$K209)-$J209/2)</f>
        <v>0</v>
      </c>
      <c r="M210" s="84">
        <f>Tableau6[[#This Row],[Fr nod.]]+Tableau6[[#This Row],[Fr lin.]]</f>
        <v>0</v>
      </c>
      <c r="N210" s="92">
        <f>Tableau6[[#This Row],[Mt nod.]]+Tableau6[[#This Row],[Mt lin.]]</f>
        <v>0</v>
      </c>
      <c r="O210" s="82">
        <f t="shared" si="24"/>
        <v>259767125</v>
      </c>
      <c r="P210" s="82">
        <f t="shared" ca="1" si="22"/>
        <v>2.8376550737956003E-4</v>
      </c>
      <c r="Q210" s="82">
        <f t="shared" si="25"/>
        <v>440414112600</v>
      </c>
      <c r="R210" s="82">
        <f t="shared" ca="1" si="23"/>
        <v>0.15641352506265671</v>
      </c>
      <c r="S210" s="102">
        <f ca="1">OFFSET($A210,,CHOOSE(Flexion!$A$26,COLUMN($M$9)-1,COLUMN($N$9)-1,COLUMN($P$9)-1,COLUMN($R$9)-1))</f>
        <v>0</v>
      </c>
    </row>
  </sheetData>
  <sheetProtection sheet="1" objects="1" scenarios="1"/>
  <conditionalFormatting sqref="A10:M210 J8:L8 J7 D7:E8 K6:L6 F2:G5">
    <cfRule type="expression" dxfId="21" priority="7">
      <formula>VEROU_O</formula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tabColor theme="5" tint="0.39997558519241921"/>
  </sheetPr>
  <dimension ref="A1:F3"/>
  <sheetViews>
    <sheetView zoomScale="80" zoomScaleNormal="80" workbookViewId="0">
      <selection activeCell="F38" sqref="F38"/>
    </sheetView>
  </sheetViews>
  <sheetFormatPr baseColWidth="10" defaultColWidth="9.140625" defaultRowHeight="12.75" x14ac:dyDescent="0.2"/>
  <cols>
    <col min="1" max="1" width="21.28515625" customWidth="1"/>
    <col min="2" max="2" width="10.7109375" bestFit="1" customWidth="1"/>
    <col min="3" max="3" width="15.5703125" bestFit="1" customWidth="1"/>
    <col min="4" max="4" width="13" bestFit="1" customWidth="1"/>
    <col min="5" max="5" width="14.5703125" bestFit="1" customWidth="1"/>
    <col min="6" max="6" width="12.7109375" bestFit="1" customWidth="1"/>
  </cols>
  <sheetData>
    <row r="1" spans="1:6" x14ac:dyDescent="0.2">
      <c r="A1" t="s">
        <v>87</v>
      </c>
      <c r="B1" t="s">
        <v>88</v>
      </c>
      <c r="C1" t="s">
        <v>89</v>
      </c>
      <c r="D1" t="s">
        <v>90</v>
      </c>
      <c r="E1" t="s">
        <v>91</v>
      </c>
      <c r="F1" t="s">
        <v>92</v>
      </c>
    </row>
    <row r="2" spans="1:6" x14ac:dyDescent="0.2">
      <c r="A2" t="s">
        <v>0</v>
      </c>
      <c r="B2">
        <v>210000</v>
      </c>
      <c r="C2">
        <v>7850</v>
      </c>
      <c r="D2">
        <v>0.300003714296327</v>
      </c>
      <c r="E2">
        <v>235</v>
      </c>
      <c r="F2">
        <v>340</v>
      </c>
    </row>
    <row r="3" spans="1:6" x14ac:dyDescent="0.2">
      <c r="A3" t="s">
        <v>93</v>
      </c>
      <c r="B3">
        <v>201200</v>
      </c>
      <c r="C3">
        <v>7852.83</v>
      </c>
      <c r="D3">
        <v>0.28636276452912202</v>
      </c>
      <c r="E3">
        <v>214</v>
      </c>
      <c r="F3">
        <v>340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tabColor theme="5" tint="0.39997558519241921"/>
  </sheetPr>
  <dimension ref="A1:P165"/>
  <sheetViews>
    <sheetView topLeftCell="A13" zoomScale="80" zoomScaleNormal="80" workbookViewId="0">
      <selection activeCell="C76" sqref="C76"/>
    </sheetView>
  </sheetViews>
  <sheetFormatPr baseColWidth="10" defaultRowHeight="12.75" x14ac:dyDescent="0.2"/>
  <cols>
    <col min="1" max="1" width="18" bestFit="1" customWidth="1"/>
    <col min="2" max="4" width="9.85546875" bestFit="1" customWidth="1"/>
    <col min="5" max="6" width="13" bestFit="1" customWidth="1"/>
    <col min="7" max="9" width="10.85546875" bestFit="1" customWidth="1"/>
    <col min="10" max="12" width="13" bestFit="1" customWidth="1"/>
    <col min="13" max="13" width="11.7109375" bestFit="1" customWidth="1"/>
    <col min="14" max="15" width="13" bestFit="1" customWidth="1"/>
    <col min="16" max="16" width="9.85546875" bestFit="1" customWidth="1"/>
  </cols>
  <sheetData>
    <row r="1" spans="1:16" x14ac:dyDescent="0.2">
      <c r="A1" t="s">
        <v>6</v>
      </c>
      <c r="B1" t="s">
        <v>7</v>
      </c>
      <c r="C1" t="s">
        <v>8</v>
      </c>
      <c r="D1" t="s">
        <v>9</v>
      </c>
      <c r="E1" t="s">
        <v>10</v>
      </c>
      <c r="F1" t="s">
        <v>11</v>
      </c>
      <c r="G1" t="s">
        <v>12</v>
      </c>
      <c r="H1" t="s">
        <v>13</v>
      </c>
      <c r="I1" t="s">
        <v>14</v>
      </c>
      <c r="J1" t="s">
        <v>15</v>
      </c>
      <c r="K1" t="s">
        <v>16</v>
      </c>
      <c r="L1" t="s">
        <v>17</v>
      </c>
      <c r="M1" t="s">
        <v>18</v>
      </c>
      <c r="N1" t="s">
        <v>19</v>
      </c>
      <c r="O1" t="s">
        <v>20</v>
      </c>
      <c r="P1" t="s">
        <v>21</v>
      </c>
    </row>
    <row r="2" spans="1:16" x14ac:dyDescent="0.2">
      <c r="A2" t="s">
        <v>229</v>
      </c>
      <c r="B2">
        <v>1632</v>
      </c>
      <c r="C2">
        <v>600</v>
      </c>
      <c r="D2">
        <v>1050</v>
      </c>
      <c r="E2">
        <v>500</v>
      </c>
      <c r="F2">
        <v>875</v>
      </c>
      <c r="G2">
        <v>0.49</v>
      </c>
      <c r="H2">
        <v>2823.87</v>
      </c>
      <c r="I2">
        <v>139.32</v>
      </c>
      <c r="J2">
        <v>1.63</v>
      </c>
      <c r="K2">
        <v>161.36000000000001</v>
      </c>
      <c r="L2">
        <v>17.27</v>
      </c>
      <c r="M2">
        <v>1</v>
      </c>
      <c r="N2">
        <v>192.85</v>
      </c>
      <c r="O2">
        <v>29.65</v>
      </c>
      <c r="P2">
        <v>30347.3</v>
      </c>
    </row>
    <row r="3" spans="1:16" x14ac:dyDescent="0.2">
      <c r="A3" t="s">
        <v>244</v>
      </c>
      <c r="B3">
        <v>1062</v>
      </c>
      <c r="C3">
        <v>480</v>
      </c>
      <c r="D3">
        <v>600</v>
      </c>
      <c r="E3">
        <v>400</v>
      </c>
      <c r="F3">
        <v>500</v>
      </c>
      <c r="G3">
        <v>0.32</v>
      </c>
      <c r="H3">
        <v>648.28</v>
      </c>
      <c r="I3">
        <v>64.63</v>
      </c>
      <c r="J3">
        <v>1.06</v>
      </c>
      <c r="K3">
        <v>64.83</v>
      </c>
      <c r="L3">
        <v>10.58</v>
      </c>
      <c r="M3">
        <v>1</v>
      </c>
      <c r="N3">
        <v>75.510000000000005</v>
      </c>
      <c r="O3">
        <v>18.66</v>
      </c>
      <c r="P3">
        <v>4422.8</v>
      </c>
    </row>
    <row r="4" spans="1:16" x14ac:dyDescent="0.2">
      <c r="A4" t="s">
        <v>243</v>
      </c>
      <c r="B4">
        <v>226.19</v>
      </c>
      <c r="C4">
        <v>113.1</v>
      </c>
      <c r="D4">
        <v>113.1</v>
      </c>
      <c r="E4">
        <v>113.1</v>
      </c>
      <c r="F4">
        <v>113.1</v>
      </c>
      <c r="G4">
        <v>0.82</v>
      </c>
      <c r="H4">
        <v>0.41</v>
      </c>
      <c r="I4">
        <v>0.41</v>
      </c>
      <c r="J4">
        <v>0.96</v>
      </c>
      <c r="K4">
        <v>0.48</v>
      </c>
      <c r="L4">
        <v>0.48</v>
      </c>
      <c r="M4">
        <v>1</v>
      </c>
      <c r="N4">
        <v>0.82</v>
      </c>
      <c r="O4">
        <v>0.82</v>
      </c>
      <c r="P4">
        <v>0</v>
      </c>
    </row>
    <row r="5" spans="1:16" x14ac:dyDescent="0.2">
      <c r="A5" t="s">
        <v>230</v>
      </c>
      <c r="B5">
        <v>325.08999999999997</v>
      </c>
      <c r="C5">
        <v>162.55000000000001</v>
      </c>
      <c r="D5">
        <v>162.55000000000001</v>
      </c>
      <c r="E5">
        <v>162.55000000000001</v>
      </c>
      <c r="F5">
        <v>162.55000000000001</v>
      </c>
      <c r="G5">
        <v>12.93</v>
      </c>
      <c r="H5">
        <v>6.46</v>
      </c>
      <c r="I5">
        <v>6.46</v>
      </c>
      <c r="J5">
        <v>6.1</v>
      </c>
      <c r="K5">
        <v>3.05</v>
      </c>
      <c r="L5">
        <v>3.05</v>
      </c>
      <c r="M5">
        <v>1</v>
      </c>
      <c r="N5">
        <v>4.12</v>
      </c>
      <c r="O5">
        <v>4.12</v>
      </c>
      <c r="P5">
        <v>0</v>
      </c>
    </row>
    <row r="6" spans="1:16" x14ac:dyDescent="0.2">
      <c r="A6" t="s">
        <v>223</v>
      </c>
      <c r="B6">
        <v>373.28</v>
      </c>
      <c r="C6">
        <v>186.64</v>
      </c>
      <c r="D6">
        <v>186.64</v>
      </c>
      <c r="E6">
        <v>186.64</v>
      </c>
      <c r="F6">
        <v>186.64</v>
      </c>
      <c r="G6">
        <v>19.55</v>
      </c>
      <c r="H6">
        <v>9.7799999999999994</v>
      </c>
      <c r="I6">
        <v>9.7799999999999994</v>
      </c>
      <c r="J6">
        <v>8.1</v>
      </c>
      <c r="K6">
        <v>4.05</v>
      </c>
      <c r="L6">
        <v>4.05</v>
      </c>
      <c r="M6">
        <v>1</v>
      </c>
      <c r="N6">
        <v>5.43</v>
      </c>
      <c r="O6">
        <v>5.43</v>
      </c>
      <c r="P6">
        <v>0</v>
      </c>
    </row>
    <row r="7" spans="1:16" x14ac:dyDescent="0.2">
      <c r="A7" t="s">
        <v>33</v>
      </c>
      <c r="B7">
        <v>2123.61</v>
      </c>
      <c r="C7">
        <v>1597.62</v>
      </c>
      <c r="D7">
        <v>524.58299999999997</v>
      </c>
      <c r="E7">
        <v>1067.4000000000001</v>
      </c>
      <c r="F7">
        <v>423.3</v>
      </c>
      <c r="G7">
        <v>4.6900000000000004</v>
      </c>
      <c r="H7">
        <v>349.22500000000002</v>
      </c>
      <c r="I7">
        <v>133.81100000000001</v>
      </c>
      <c r="J7">
        <v>4.7249999999999996</v>
      </c>
      <c r="K7">
        <v>72.760000000000005</v>
      </c>
      <c r="L7">
        <v>26.76</v>
      </c>
      <c r="M7">
        <v>1</v>
      </c>
      <c r="N7">
        <v>83.01</v>
      </c>
      <c r="O7">
        <v>41.14</v>
      </c>
      <c r="P7">
        <v>2580</v>
      </c>
    </row>
    <row r="8" spans="1:16" x14ac:dyDescent="0.2">
      <c r="A8" t="s">
        <v>37</v>
      </c>
      <c r="B8">
        <v>2530</v>
      </c>
      <c r="C8">
        <v>1920</v>
      </c>
      <c r="D8">
        <v>570</v>
      </c>
      <c r="E8">
        <v>1600</v>
      </c>
      <c r="F8">
        <v>475</v>
      </c>
      <c r="G8">
        <v>5.99</v>
      </c>
      <c r="H8">
        <v>606.20000000000005</v>
      </c>
      <c r="I8">
        <v>230.9</v>
      </c>
      <c r="J8">
        <v>7.4875000000000007</v>
      </c>
      <c r="K8">
        <v>106.3</v>
      </c>
      <c r="L8">
        <v>38.479999999999997</v>
      </c>
      <c r="M8">
        <v>1</v>
      </c>
      <c r="N8">
        <v>119.5</v>
      </c>
      <c r="O8">
        <v>58.85</v>
      </c>
      <c r="P8">
        <v>6470</v>
      </c>
    </row>
    <row r="9" spans="1:16" x14ac:dyDescent="0.2">
      <c r="A9" t="s">
        <v>27</v>
      </c>
      <c r="B9">
        <v>3142</v>
      </c>
      <c r="C9">
        <v>2279</v>
      </c>
      <c r="D9">
        <v>775.46400000000006</v>
      </c>
      <c r="E9">
        <v>1587.3</v>
      </c>
      <c r="F9">
        <v>657</v>
      </c>
      <c r="G9">
        <v>8.1300000000000008</v>
      </c>
      <c r="H9">
        <v>1033</v>
      </c>
      <c r="I9">
        <v>389.3</v>
      </c>
      <c r="J9">
        <v>7.556</v>
      </c>
      <c r="K9">
        <v>155.4</v>
      </c>
      <c r="L9">
        <v>55.62</v>
      </c>
      <c r="M9">
        <v>1</v>
      </c>
      <c r="N9">
        <v>173.5</v>
      </c>
      <c r="O9">
        <v>84.85</v>
      </c>
      <c r="P9">
        <v>15060</v>
      </c>
    </row>
    <row r="10" spans="1:16" x14ac:dyDescent="0.2">
      <c r="A10" t="s">
        <v>38</v>
      </c>
      <c r="B10">
        <v>3880</v>
      </c>
      <c r="C10">
        <v>2880</v>
      </c>
      <c r="D10">
        <v>912</v>
      </c>
      <c r="E10">
        <v>2400</v>
      </c>
      <c r="F10">
        <v>760</v>
      </c>
      <c r="G10">
        <v>12.19</v>
      </c>
      <c r="H10">
        <v>1673</v>
      </c>
      <c r="I10">
        <v>615.6</v>
      </c>
      <c r="J10">
        <v>13.544444444444444</v>
      </c>
      <c r="K10">
        <v>220.1</v>
      </c>
      <c r="L10">
        <v>76.95</v>
      </c>
      <c r="M10">
        <v>1</v>
      </c>
      <c r="N10">
        <v>245.1</v>
      </c>
      <c r="O10">
        <v>117.6</v>
      </c>
      <c r="P10">
        <v>31410</v>
      </c>
    </row>
    <row r="11" spans="1:16" x14ac:dyDescent="0.2">
      <c r="A11" t="s">
        <v>39</v>
      </c>
      <c r="B11">
        <v>4530</v>
      </c>
      <c r="C11">
        <v>3420</v>
      </c>
      <c r="D11">
        <v>1026</v>
      </c>
      <c r="E11">
        <v>2850</v>
      </c>
      <c r="F11">
        <v>855</v>
      </c>
      <c r="G11">
        <v>14.8</v>
      </c>
      <c r="H11">
        <v>2510</v>
      </c>
      <c r="I11">
        <v>924.6</v>
      </c>
      <c r="J11">
        <v>15.578947368421053</v>
      </c>
      <c r="K11">
        <v>293.60000000000002</v>
      </c>
      <c r="L11">
        <v>102.7</v>
      </c>
      <c r="M11">
        <v>1</v>
      </c>
      <c r="N11">
        <v>324.89999999999998</v>
      </c>
      <c r="O11">
        <v>156.5</v>
      </c>
      <c r="P11">
        <v>60210</v>
      </c>
    </row>
    <row r="12" spans="1:16" x14ac:dyDescent="0.2">
      <c r="A12" t="s">
        <v>4</v>
      </c>
      <c r="B12">
        <v>5383</v>
      </c>
      <c r="C12">
        <v>3867.93</v>
      </c>
      <c r="D12">
        <v>1327.8</v>
      </c>
      <c r="E12">
        <v>2667.49</v>
      </c>
      <c r="F12">
        <v>1121.29</v>
      </c>
      <c r="G12">
        <v>20.98</v>
      </c>
      <c r="H12">
        <v>3692</v>
      </c>
      <c r="I12">
        <v>1336</v>
      </c>
      <c r="J12">
        <v>14.981</v>
      </c>
      <c r="K12">
        <v>388.6</v>
      </c>
      <c r="L12">
        <v>133.6</v>
      </c>
      <c r="M12">
        <v>1</v>
      </c>
      <c r="N12">
        <v>429.5</v>
      </c>
      <c r="O12">
        <v>203.8</v>
      </c>
      <c r="P12">
        <v>108000</v>
      </c>
    </row>
    <row r="13" spans="1:16" x14ac:dyDescent="0.2">
      <c r="A13" t="s">
        <v>40</v>
      </c>
      <c r="B13">
        <v>6430</v>
      </c>
      <c r="C13">
        <v>4840</v>
      </c>
      <c r="D13">
        <v>1470</v>
      </c>
      <c r="E13">
        <v>4033.3333333333335</v>
      </c>
      <c r="F13">
        <v>1225</v>
      </c>
      <c r="G13">
        <v>28.46</v>
      </c>
      <c r="H13">
        <v>5410</v>
      </c>
      <c r="I13">
        <v>1955</v>
      </c>
      <c r="J13">
        <v>25.872727272727275</v>
      </c>
      <c r="K13">
        <v>515.20000000000005</v>
      </c>
      <c r="L13">
        <v>177.7</v>
      </c>
      <c r="M13">
        <v>1</v>
      </c>
      <c r="N13">
        <v>568.5</v>
      </c>
      <c r="O13">
        <v>270.60000000000002</v>
      </c>
      <c r="P13">
        <v>193300</v>
      </c>
    </row>
    <row r="14" spans="1:16" x14ac:dyDescent="0.2">
      <c r="A14" t="s">
        <v>34</v>
      </c>
      <c r="B14">
        <v>7684</v>
      </c>
      <c r="C14">
        <v>5760</v>
      </c>
      <c r="D14">
        <v>1725</v>
      </c>
      <c r="E14">
        <v>4800</v>
      </c>
      <c r="F14">
        <v>1437.5</v>
      </c>
      <c r="G14">
        <v>41.55</v>
      </c>
      <c r="H14">
        <v>7763</v>
      </c>
      <c r="I14">
        <v>2769</v>
      </c>
      <c r="J14">
        <v>34.625</v>
      </c>
      <c r="K14">
        <v>675.1</v>
      </c>
      <c r="L14">
        <v>230.7</v>
      </c>
      <c r="M14">
        <v>1</v>
      </c>
      <c r="N14">
        <v>744.6</v>
      </c>
      <c r="O14">
        <v>351.7</v>
      </c>
      <c r="P14">
        <v>328500</v>
      </c>
    </row>
    <row r="15" spans="1:16" x14ac:dyDescent="0.2">
      <c r="A15" t="s">
        <v>48</v>
      </c>
      <c r="B15">
        <v>8680</v>
      </c>
      <c r="C15">
        <v>6500</v>
      </c>
      <c r="D15">
        <v>1875</v>
      </c>
      <c r="E15">
        <v>5416.6666666666697</v>
      </c>
      <c r="F15">
        <v>1562.5</v>
      </c>
      <c r="G15">
        <v>52.37</v>
      </c>
      <c r="H15">
        <v>10450</v>
      </c>
      <c r="I15">
        <v>3668</v>
      </c>
      <c r="J15">
        <v>41.896000000000001</v>
      </c>
      <c r="K15">
        <v>836.4</v>
      </c>
      <c r="L15">
        <v>282.10000000000002</v>
      </c>
      <c r="M15">
        <v>2</v>
      </c>
      <c r="N15">
        <v>919.8</v>
      </c>
      <c r="O15">
        <v>430.2</v>
      </c>
      <c r="P15">
        <v>516400</v>
      </c>
    </row>
    <row r="16" spans="1:16" x14ac:dyDescent="0.2">
      <c r="A16" t="s">
        <v>50</v>
      </c>
      <c r="B16">
        <v>9730</v>
      </c>
      <c r="C16">
        <v>7280</v>
      </c>
      <c r="D16">
        <v>2160</v>
      </c>
      <c r="E16">
        <v>6066.6666666666697</v>
      </c>
      <c r="F16">
        <v>1800</v>
      </c>
      <c r="G16">
        <v>62.1</v>
      </c>
      <c r="H16">
        <v>13670</v>
      </c>
      <c r="I16">
        <v>4763</v>
      </c>
      <c r="J16">
        <v>47.769230769230802</v>
      </c>
      <c r="K16">
        <v>1013</v>
      </c>
      <c r="L16">
        <v>340.2</v>
      </c>
      <c r="M16">
        <v>2</v>
      </c>
      <c r="N16">
        <v>1112</v>
      </c>
      <c r="O16">
        <v>518.1</v>
      </c>
      <c r="P16">
        <v>785400</v>
      </c>
    </row>
    <row r="17" spans="1:16" x14ac:dyDescent="0.2">
      <c r="A17" t="s">
        <v>52</v>
      </c>
      <c r="B17">
        <v>11250</v>
      </c>
      <c r="C17">
        <v>8400</v>
      </c>
      <c r="D17">
        <v>2465</v>
      </c>
      <c r="E17">
        <v>7000</v>
      </c>
      <c r="F17">
        <v>2054.166666666667</v>
      </c>
      <c r="G17">
        <v>85.17</v>
      </c>
      <c r="H17">
        <v>18260</v>
      </c>
      <c r="I17">
        <v>6310</v>
      </c>
      <c r="J17">
        <v>60.835714285714289</v>
      </c>
      <c r="K17">
        <v>1260</v>
      </c>
      <c r="L17">
        <v>420.6</v>
      </c>
      <c r="M17">
        <v>2</v>
      </c>
      <c r="N17">
        <v>1383</v>
      </c>
      <c r="O17">
        <v>641.20000000000005</v>
      </c>
      <c r="P17">
        <v>1200000</v>
      </c>
    </row>
    <row r="18" spans="1:16" x14ac:dyDescent="0.2">
      <c r="A18" t="s">
        <v>79</v>
      </c>
      <c r="B18">
        <v>12440</v>
      </c>
      <c r="C18">
        <v>9300</v>
      </c>
      <c r="D18">
        <v>2790</v>
      </c>
      <c r="E18">
        <v>7750</v>
      </c>
      <c r="F18">
        <v>2325.0000000000005</v>
      </c>
      <c r="G18">
        <v>108</v>
      </c>
      <c r="H18">
        <v>22930</v>
      </c>
      <c r="I18">
        <v>6985</v>
      </c>
      <c r="J18">
        <v>69.677419354838705</v>
      </c>
      <c r="K18">
        <v>1479</v>
      </c>
      <c r="L18">
        <v>465.7</v>
      </c>
      <c r="M18">
        <v>1</v>
      </c>
      <c r="N18">
        <v>1628</v>
      </c>
      <c r="O18">
        <v>709.7</v>
      </c>
      <c r="P18">
        <v>1512000</v>
      </c>
    </row>
    <row r="19" spans="1:16" x14ac:dyDescent="0.2">
      <c r="A19" t="s">
        <v>80</v>
      </c>
      <c r="B19">
        <v>13350</v>
      </c>
      <c r="C19">
        <v>9900</v>
      </c>
      <c r="D19">
        <v>3135</v>
      </c>
      <c r="E19">
        <v>8250</v>
      </c>
      <c r="F19">
        <v>2612.5</v>
      </c>
      <c r="G19">
        <v>127.2</v>
      </c>
      <c r="H19">
        <v>27690</v>
      </c>
      <c r="I19">
        <v>7436</v>
      </c>
      <c r="J19">
        <v>77.090909090909093</v>
      </c>
      <c r="K19">
        <v>1678</v>
      </c>
      <c r="L19">
        <v>495.7</v>
      </c>
      <c r="M19">
        <v>1</v>
      </c>
      <c r="N19">
        <v>1850</v>
      </c>
      <c r="O19">
        <v>755.9</v>
      </c>
      <c r="P19">
        <v>1824000</v>
      </c>
    </row>
    <row r="20" spans="1:16" x14ac:dyDescent="0.2">
      <c r="A20" t="s">
        <v>81</v>
      </c>
      <c r="B20">
        <v>14280</v>
      </c>
      <c r="C20">
        <v>10500</v>
      </c>
      <c r="D20">
        <v>3500</v>
      </c>
      <c r="E20">
        <v>8750</v>
      </c>
      <c r="F20">
        <v>2916.666666666667</v>
      </c>
      <c r="G20">
        <v>148.80000000000001</v>
      </c>
      <c r="H20">
        <v>33090</v>
      </c>
      <c r="I20">
        <v>7887</v>
      </c>
      <c r="J20">
        <v>85.028571428571425</v>
      </c>
      <c r="K20">
        <v>1891</v>
      </c>
      <c r="L20">
        <v>525.79999999999995</v>
      </c>
      <c r="M20">
        <v>1</v>
      </c>
      <c r="N20">
        <v>2088</v>
      </c>
      <c r="O20">
        <v>802.3</v>
      </c>
      <c r="P20">
        <v>2177000</v>
      </c>
    </row>
    <row r="21" spans="1:16" x14ac:dyDescent="0.2">
      <c r="A21" t="s">
        <v>82</v>
      </c>
      <c r="B21">
        <v>15900</v>
      </c>
      <c r="C21">
        <v>11400</v>
      </c>
      <c r="D21">
        <v>4290</v>
      </c>
      <c r="E21">
        <v>9500</v>
      </c>
      <c r="F21">
        <v>3575</v>
      </c>
      <c r="G21">
        <v>189</v>
      </c>
      <c r="H21">
        <v>45070</v>
      </c>
      <c r="I21">
        <v>8564</v>
      </c>
      <c r="J21">
        <v>99.473684210526315</v>
      </c>
      <c r="K21">
        <v>2311</v>
      </c>
      <c r="L21">
        <v>570.9</v>
      </c>
      <c r="M21">
        <v>1</v>
      </c>
      <c r="N21">
        <v>2562</v>
      </c>
      <c r="O21">
        <v>872.9</v>
      </c>
      <c r="P21">
        <v>2942000</v>
      </c>
    </row>
    <row r="22" spans="1:16" x14ac:dyDescent="0.2">
      <c r="A22" t="s">
        <v>28</v>
      </c>
      <c r="B22">
        <v>2603.6</v>
      </c>
      <c r="C22">
        <v>1980.8</v>
      </c>
      <c r="D22">
        <v>657.2</v>
      </c>
      <c r="E22">
        <v>1334.6</v>
      </c>
      <c r="F22">
        <v>520.5</v>
      </c>
      <c r="G22">
        <v>9.25</v>
      </c>
      <c r="H22">
        <v>449.54500000000002</v>
      </c>
      <c r="I22">
        <v>167.27199999999999</v>
      </c>
      <c r="J22">
        <v>7.3150000000000004</v>
      </c>
      <c r="K22">
        <v>89.91</v>
      </c>
      <c r="L22">
        <v>33.450000000000003</v>
      </c>
      <c r="M22">
        <v>1</v>
      </c>
      <c r="N22">
        <v>104.2</v>
      </c>
      <c r="O22">
        <v>51.42</v>
      </c>
      <c r="P22">
        <v>3380</v>
      </c>
    </row>
    <row r="23" spans="1:16" x14ac:dyDescent="0.2">
      <c r="A23" t="s">
        <v>29</v>
      </c>
      <c r="B23">
        <v>3400.6</v>
      </c>
      <c r="C23">
        <v>2550</v>
      </c>
      <c r="D23">
        <v>830.2</v>
      </c>
      <c r="E23">
        <v>1761.4</v>
      </c>
      <c r="F23">
        <v>682.7</v>
      </c>
      <c r="G23">
        <v>13.84</v>
      </c>
      <c r="H23">
        <v>864.37199999999996</v>
      </c>
      <c r="I23">
        <v>317.52199999999999</v>
      </c>
      <c r="J23">
        <v>10.587</v>
      </c>
      <c r="K23">
        <v>144.1</v>
      </c>
      <c r="L23">
        <v>52.92</v>
      </c>
      <c r="M23">
        <v>1</v>
      </c>
      <c r="N23">
        <v>165.2</v>
      </c>
      <c r="O23">
        <v>80.97</v>
      </c>
      <c r="P23">
        <v>9410</v>
      </c>
    </row>
    <row r="24" spans="1:16" x14ac:dyDescent="0.2">
      <c r="A24" t="s">
        <v>36</v>
      </c>
      <c r="B24">
        <v>4296</v>
      </c>
      <c r="C24">
        <v>3360</v>
      </c>
      <c r="D24">
        <v>980</v>
      </c>
      <c r="E24">
        <v>2800</v>
      </c>
      <c r="F24">
        <v>816.66666666666697</v>
      </c>
      <c r="G24">
        <v>20.059999999999999</v>
      </c>
      <c r="H24">
        <v>1509</v>
      </c>
      <c r="I24">
        <v>549.70000000000005</v>
      </c>
      <c r="J24">
        <v>16.716666666666701</v>
      </c>
      <c r="K24">
        <v>215.6</v>
      </c>
      <c r="L24">
        <v>78.52</v>
      </c>
      <c r="M24">
        <v>1</v>
      </c>
      <c r="N24">
        <v>245.4</v>
      </c>
      <c r="O24">
        <v>119.8</v>
      </c>
      <c r="P24">
        <v>22480</v>
      </c>
    </row>
    <row r="25" spans="1:16" x14ac:dyDescent="0.2">
      <c r="A25" t="s">
        <v>41</v>
      </c>
      <c r="B25">
        <v>5430</v>
      </c>
      <c r="C25">
        <v>4160</v>
      </c>
      <c r="D25">
        <v>1280</v>
      </c>
      <c r="E25">
        <v>3466.666666666667</v>
      </c>
      <c r="F25">
        <v>1066.6666666666667</v>
      </c>
      <c r="G25">
        <v>31.24</v>
      </c>
      <c r="H25">
        <v>2492</v>
      </c>
      <c r="I25">
        <v>889.2</v>
      </c>
      <c r="J25">
        <v>24.030769230769231</v>
      </c>
      <c r="K25">
        <v>311.5</v>
      </c>
      <c r="L25">
        <v>111.2</v>
      </c>
      <c r="M25">
        <v>1</v>
      </c>
      <c r="N25">
        <v>354</v>
      </c>
      <c r="O25">
        <v>170</v>
      </c>
      <c r="P25">
        <v>47940</v>
      </c>
    </row>
    <row r="26" spans="1:16" x14ac:dyDescent="0.2">
      <c r="A26" t="s">
        <v>30</v>
      </c>
      <c r="B26">
        <v>6525.1</v>
      </c>
      <c r="C26">
        <v>4786.3</v>
      </c>
      <c r="D26">
        <v>1599.2</v>
      </c>
      <c r="E26">
        <v>3362.1</v>
      </c>
      <c r="F26">
        <v>1356.2</v>
      </c>
      <c r="G26">
        <v>42.16</v>
      </c>
      <c r="H26">
        <v>3831.13</v>
      </c>
      <c r="I26">
        <v>1362.85</v>
      </c>
      <c r="J26">
        <v>25.946999999999999</v>
      </c>
      <c r="K26">
        <v>425.7</v>
      </c>
      <c r="L26">
        <v>151.4</v>
      </c>
      <c r="M26">
        <v>1</v>
      </c>
      <c r="N26">
        <v>481.4</v>
      </c>
      <c r="O26">
        <v>231</v>
      </c>
      <c r="P26">
        <v>93750</v>
      </c>
    </row>
    <row r="27" spans="1:16" x14ac:dyDescent="0.2">
      <c r="A27" t="s">
        <v>26</v>
      </c>
      <c r="B27">
        <v>7808.12</v>
      </c>
      <c r="C27">
        <v>5743.49</v>
      </c>
      <c r="D27">
        <v>1899.84</v>
      </c>
      <c r="E27">
        <v>4002</v>
      </c>
      <c r="F27">
        <v>1601</v>
      </c>
      <c r="G27">
        <v>59.28</v>
      </c>
      <c r="H27">
        <v>5696.18</v>
      </c>
      <c r="I27">
        <v>2003.37</v>
      </c>
      <c r="J27">
        <v>32.997</v>
      </c>
      <c r="K27">
        <v>569.6</v>
      </c>
      <c r="L27">
        <v>200.3</v>
      </c>
      <c r="M27">
        <v>1</v>
      </c>
      <c r="N27">
        <v>642.5</v>
      </c>
      <c r="O27">
        <v>305.8</v>
      </c>
      <c r="P27">
        <v>171100</v>
      </c>
    </row>
    <row r="28" spans="1:16" x14ac:dyDescent="0.2">
      <c r="A28" t="s">
        <v>42</v>
      </c>
      <c r="B28">
        <v>9100</v>
      </c>
      <c r="C28">
        <v>7040</v>
      </c>
      <c r="D28">
        <v>2090</v>
      </c>
      <c r="E28">
        <v>5866.666666666667</v>
      </c>
      <c r="F28">
        <v>1741.6666666666667</v>
      </c>
      <c r="G28">
        <v>76.569999999999993</v>
      </c>
      <c r="H28">
        <v>8091</v>
      </c>
      <c r="I28">
        <v>2843</v>
      </c>
      <c r="J28">
        <v>47.856249999999996</v>
      </c>
      <c r="K28">
        <v>735.5</v>
      </c>
      <c r="L28">
        <v>258.5</v>
      </c>
      <c r="M28">
        <v>1</v>
      </c>
      <c r="N28">
        <v>827</v>
      </c>
      <c r="O28">
        <v>393.9</v>
      </c>
      <c r="P28">
        <v>295400</v>
      </c>
    </row>
    <row r="29" spans="1:16" x14ac:dyDescent="0.2">
      <c r="A29" t="s">
        <v>43</v>
      </c>
      <c r="B29">
        <v>10600</v>
      </c>
      <c r="C29">
        <v>8160</v>
      </c>
      <c r="D29">
        <v>2400</v>
      </c>
      <c r="E29">
        <v>6800</v>
      </c>
      <c r="F29">
        <v>2000</v>
      </c>
      <c r="G29">
        <v>102.7</v>
      </c>
      <c r="H29">
        <v>11260</v>
      </c>
      <c r="I29">
        <v>3923</v>
      </c>
      <c r="J29">
        <v>60.411764705882355</v>
      </c>
      <c r="K29">
        <v>938.3</v>
      </c>
      <c r="L29">
        <v>326.89999999999998</v>
      </c>
      <c r="M29">
        <v>1</v>
      </c>
      <c r="N29">
        <v>1053</v>
      </c>
      <c r="O29">
        <v>498.4</v>
      </c>
      <c r="P29">
        <v>486900</v>
      </c>
    </row>
    <row r="30" spans="1:16" x14ac:dyDescent="0.2">
      <c r="A30" t="s">
        <v>49</v>
      </c>
      <c r="B30">
        <v>11840</v>
      </c>
      <c r="C30">
        <v>9100</v>
      </c>
      <c r="D30">
        <v>2600</v>
      </c>
      <c r="E30">
        <v>7583.3333333333339</v>
      </c>
      <c r="F30">
        <v>2166.666666666667</v>
      </c>
      <c r="G30">
        <v>123.8</v>
      </c>
      <c r="H30">
        <v>14920</v>
      </c>
      <c r="I30">
        <v>5135</v>
      </c>
      <c r="J30">
        <v>70.742857142857147</v>
      </c>
      <c r="K30">
        <v>1148</v>
      </c>
      <c r="L30">
        <v>395</v>
      </c>
      <c r="M30">
        <v>1</v>
      </c>
      <c r="N30">
        <v>1283</v>
      </c>
      <c r="O30">
        <v>602.20000000000005</v>
      </c>
      <c r="P30">
        <v>753700</v>
      </c>
    </row>
    <row r="31" spans="1:16" x14ac:dyDescent="0.2">
      <c r="A31" t="s">
        <v>51</v>
      </c>
      <c r="B31">
        <v>13140</v>
      </c>
      <c r="C31">
        <v>10080</v>
      </c>
      <c r="D31">
        <v>2940</v>
      </c>
      <c r="E31">
        <v>8400</v>
      </c>
      <c r="F31">
        <v>2450</v>
      </c>
      <c r="G31">
        <v>143.69999999999999</v>
      </c>
      <c r="H31">
        <v>19270</v>
      </c>
      <c r="I31">
        <v>6595</v>
      </c>
      <c r="J31">
        <v>79.833333333333329</v>
      </c>
      <c r="K31">
        <v>1376</v>
      </c>
      <c r="L31">
        <v>471</v>
      </c>
      <c r="M31">
        <v>1</v>
      </c>
      <c r="N31">
        <v>1534</v>
      </c>
      <c r="O31">
        <v>717.6</v>
      </c>
      <c r="P31">
        <v>1130000</v>
      </c>
    </row>
    <row r="32" spans="1:16" x14ac:dyDescent="0.2">
      <c r="A32" t="s">
        <v>53</v>
      </c>
      <c r="B32">
        <v>14910</v>
      </c>
      <c r="C32">
        <v>11400</v>
      </c>
      <c r="D32">
        <v>3300</v>
      </c>
      <c r="E32">
        <v>9500</v>
      </c>
      <c r="F32">
        <v>2750</v>
      </c>
      <c r="G32">
        <v>185</v>
      </c>
      <c r="H32">
        <v>25170</v>
      </c>
      <c r="I32">
        <v>8563</v>
      </c>
      <c r="J32">
        <v>97.368421052631575</v>
      </c>
      <c r="K32">
        <v>1678</v>
      </c>
      <c r="L32">
        <v>570.9</v>
      </c>
      <c r="M32">
        <v>1</v>
      </c>
      <c r="N32">
        <v>1869</v>
      </c>
      <c r="O32">
        <v>870.1</v>
      </c>
      <c r="P32">
        <v>1688000</v>
      </c>
    </row>
    <row r="33" spans="1:16" x14ac:dyDescent="0.2">
      <c r="A33" t="s">
        <v>84</v>
      </c>
      <c r="B33">
        <v>16130</v>
      </c>
      <c r="C33">
        <v>12300</v>
      </c>
      <c r="D33">
        <v>3680</v>
      </c>
      <c r="E33">
        <v>10250</v>
      </c>
      <c r="F33">
        <v>3066.666666666667</v>
      </c>
      <c r="G33">
        <v>225.1</v>
      </c>
      <c r="H33">
        <v>30820</v>
      </c>
      <c r="I33">
        <v>9239</v>
      </c>
      <c r="J33">
        <v>109.80487804878049</v>
      </c>
      <c r="K33">
        <v>1926</v>
      </c>
      <c r="L33">
        <v>615.9</v>
      </c>
      <c r="M33">
        <v>1</v>
      </c>
      <c r="N33">
        <v>2149</v>
      </c>
      <c r="O33">
        <v>939.1</v>
      </c>
      <c r="P33">
        <v>2069000</v>
      </c>
    </row>
    <row r="34" spans="1:16" x14ac:dyDescent="0.2">
      <c r="A34" t="s">
        <v>83</v>
      </c>
      <c r="B34">
        <v>17090</v>
      </c>
      <c r="C34">
        <v>12900</v>
      </c>
      <c r="D34">
        <v>4080</v>
      </c>
      <c r="E34">
        <v>10750</v>
      </c>
      <c r="F34">
        <v>3400.0000000000005</v>
      </c>
      <c r="G34">
        <v>257.2</v>
      </c>
      <c r="H34">
        <v>36660</v>
      </c>
      <c r="I34">
        <v>9690</v>
      </c>
      <c r="J34">
        <v>119.62790697674419</v>
      </c>
      <c r="K34">
        <v>2156</v>
      </c>
      <c r="L34">
        <v>646</v>
      </c>
      <c r="M34">
        <v>1</v>
      </c>
      <c r="N34">
        <v>2408</v>
      </c>
      <c r="O34">
        <v>985.7</v>
      </c>
      <c r="P34">
        <v>2454000</v>
      </c>
    </row>
    <row r="35" spans="1:16" x14ac:dyDescent="0.2">
      <c r="A35" t="s">
        <v>85</v>
      </c>
      <c r="B35">
        <v>18060</v>
      </c>
      <c r="C35">
        <v>13500</v>
      </c>
      <c r="D35">
        <v>4500</v>
      </c>
      <c r="E35">
        <v>11250</v>
      </c>
      <c r="F35">
        <v>3750</v>
      </c>
      <c r="G35">
        <v>292.5</v>
      </c>
      <c r="H35">
        <v>43190</v>
      </c>
      <c r="I35">
        <v>10140</v>
      </c>
      <c r="J35">
        <v>130</v>
      </c>
      <c r="K35">
        <v>2400</v>
      </c>
      <c r="L35">
        <v>676.1</v>
      </c>
      <c r="M35">
        <v>1</v>
      </c>
      <c r="N35">
        <v>2683</v>
      </c>
      <c r="O35">
        <v>1032</v>
      </c>
      <c r="P35">
        <v>2883000</v>
      </c>
    </row>
    <row r="36" spans="1:16" x14ac:dyDescent="0.2">
      <c r="A36" t="s">
        <v>86</v>
      </c>
      <c r="B36">
        <v>19780</v>
      </c>
      <c r="C36">
        <v>14400</v>
      </c>
      <c r="D36">
        <v>5400</v>
      </c>
      <c r="E36">
        <v>12000</v>
      </c>
      <c r="F36">
        <v>4500.0000000000009</v>
      </c>
      <c r="G36">
        <v>355.7</v>
      </c>
      <c r="H36">
        <v>57680</v>
      </c>
      <c r="I36">
        <v>10820</v>
      </c>
      <c r="J36">
        <v>148.20833333333334</v>
      </c>
      <c r="K36">
        <v>2884</v>
      </c>
      <c r="L36">
        <v>721.3</v>
      </c>
      <c r="M36">
        <v>1</v>
      </c>
      <c r="N36">
        <v>3232</v>
      </c>
      <c r="O36">
        <v>1104</v>
      </c>
      <c r="P36">
        <v>3817000</v>
      </c>
    </row>
    <row r="37" spans="1:16" x14ac:dyDescent="0.2">
      <c r="A37" t="s">
        <v>266</v>
      </c>
      <c r="B37">
        <v>764</v>
      </c>
      <c r="C37">
        <v>478.4</v>
      </c>
      <c r="D37">
        <v>304</v>
      </c>
      <c r="E37">
        <v>398.66666666666703</v>
      </c>
      <c r="F37">
        <v>253.333333333333</v>
      </c>
      <c r="G37">
        <v>0.7</v>
      </c>
      <c r="H37">
        <v>80.14</v>
      </c>
      <c r="I37">
        <v>8.49</v>
      </c>
      <c r="J37">
        <v>1.34615384615385</v>
      </c>
      <c r="K37">
        <v>20.03</v>
      </c>
      <c r="L37">
        <v>3.69</v>
      </c>
      <c r="M37">
        <v>1</v>
      </c>
      <c r="N37">
        <v>23.22</v>
      </c>
      <c r="O37">
        <v>5.82</v>
      </c>
      <c r="P37">
        <v>120</v>
      </c>
    </row>
    <row r="38" spans="1:16" x14ac:dyDescent="0.2">
      <c r="A38" t="s">
        <v>189</v>
      </c>
      <c r="B38">
        <v>1032.32</v>
      </c>
      <c r="C38">
        <v>645.96799999999996</v>
      </c>
      <c r="D38">
        <v>418.29399999999998</v>
      </c>
      <c r="E38">
        <v>419.4</v>
      </c>
      <c r="F38">
        <v>356.6</v>
      </c>
      <c r="G38">
        <v>1.2</v>
      </c>
      <c r="H38">
        <v>171.012</v>
      </c>
      <c r="I38">
        <v>15.918699999999999</v>
      </c>
      <c r="J38">
        <v>1.5713999999999999</v>
      </c>
      <c r="K38">
        <v>34.200000000000003</v>
      </c>
      <c r="L38">
        <v>5.79</v>
      </c>
      <c r="M38">
        <v>1</v>
      </c>
      <c r="N38">
        <v>39.409999999999997</v>
      </c>
      <c r="O38">
        <v>9.15</v>
      </c>
      <c r="P38">
        <v>350</v>
      </c>
    </row>
    <row r="39" spans="1:16" x14ac:dyDescent="0.2">
      <c r="A39" t="s">
        <v>249</v>
      </c>
      <c r="B39">
        <v>1320</v>
      </c>
      <c r="C39">
        <v>807.72500000000002</v>
      </c>
      <c r="D39">
        <v>535.84299999999996</v>
      </c>
      <c r="E39">
        <v>539.20000000000005</v>
      </c>
      <c r="F39">
        <v>461.2</v>
      </c>
      <c r="G39">
        <v>1.74</v>
      </c>
      <c r="H39">
        <v>318</v>
      </c>
      <c r="I39">
        <v>27.7</v>
      </c>
      <c r="J39">
        <v>2.206</v>
      </c>
      <c r="K39">
        <v>52.96</v>
      </c>
      <c r="L39">
        <v>8.65</v>
      </c>
      <c r="M39">
        <v>1</v>
      </c>
      <c r="N39">
        <v>60.73</v>
      </c>
      <c r="O39">
        <v>13.58</v>
      </c>
      <c r="P39">
        <v>890</v>
      </c>
    </row>
    <row r="40" spans="1:16" x14ac:dyDescent="0.2">
      <c r="A40" t="s">
        <v>179</v>
      </c>
      <c r="B40">
        <v>1643</v>
      </c>
      <c r="C40">
        <v>1007.4</v>
      </c>
      <c r="D40">
        <v>658</v>
      </c>
      <c r="E40">
        <v>839.5</v>
      </c>
      <c r="F40">
        <v>548.33333333333303</v>
      </c>
      <c r="G40">
        <v>2.4500000000000002</v>
      </c>
      <c r="H40">
        <v>541.20000000000005</v>
      </c>
      <c r="I40">
        <v>44.92</v>
      </c>
      <c r="J40">
        <v>3.5507246376811601</v>
      </c>
      <c r="K40">
        <v>77.319999999999993</v>
      </c>
      <c r="L40">
        <v>12.31</v>
      </c>
      <c r="M40">
        <v>1</v>
      </c>
      <c r="N40">
        <v>88.34</v>
      </c>
      <c r="O40">
        <v>19.25</v>
      </c>
      <c r="P40">
        <v>1980</v>
      </c>
    </row>
    <row r="41" spans="1:16" x14ac:dyDescent="0.2">
      <c r="A41" t="s">
        <v>250</v>
      </c>
      <c r="B41">
        <v>2010</v>
      </c>
      <c r="C41">
        <v>1213.5999999999999</v>
      </c>
      <c r="D41">
        <v>801.15800000000002</v>
      </c>
      <c r="E41">
        <v>811</v>
      </c>
      <c r="F41">
        <v>702.6</v>
      </c>
      <c r="G41">
        <v>3.6</v>
      </c>
      <c r="H41">
        <v>870</v>
      </c>
      <c r="I41">
        <v>68.3</v>
      </c>
      <c r="J41">
        <v>3.8530000000000002</v>
      </c>
      <c r="K41">
        <v>108.7</v>
      </c>
      <c r="L41">
        <v>16.66</v>
      </c>
      <c r="M41">
        <v>1</v>
      </c>
      <c r="N41">
        <v>123.9</v>
      </c>
      <c r="O41">
        <v>26.1</v>
      </c>
      <c r="P41">
        <v>3960</v>
      </c>
    </row>
    <row r="42" spans="1:16" x14ac:dyDescent="0.2">
      <c r="A42" t="s">
        <v>197</v>
      </c>
      <c r="B42">
        <v>2390</v>
      </c>
      <c r="C42">
        <v>1456</v>
      </c>
      <c r="D42">
        <v>954</v>
      </c>
      <c r="E42">
        <v>1213.3333333333335</v>
      </c>
      <c r="F42">
        <v>795</v>
      </c>
      <c r="G42">
        <v>4.79</v>
      </c>
      <c r="H42">
        <v>1317</v>
      </c>
      <c r="I42">
        <v>100.9</v>
      </c>
      <c r="J42">
        <v>5.9874999999999998</v>
      </c>
      <c r="K42">
        <v>146.30000000000001</v>
      </c>
      <c r="L42">
        <v>22.16</v>
      </c>
      <c r="M42">
        <v>1</v>
      </c>
      <c r="N42">
        <v>166.4</v>
      </c>
      <c r="O42">
        <v>34.6</v>
      </c>
      <c r="P42">
        <v>7430</v>
      </c>
    </row>
    <row r="43" spans="1:16" x14ac:dyDescent="0.2">
      <c r="A43" t="s">
        <v>190</v>
      </c>
      <c r="B43">
        <v>2848.41</v>
      </c>
      <c r="C43">
        <v>1721.59</v>
      </c>
      <c r="D43">
        <v>1128.55</v>
      </c>
      <c r="E43">
        <v>1136</v>
      </c>
      <c r="F43">
        <v>987.2</v>
      </c>
      <c r="G43">
        <v>6.98</v>
      </c>
      <c r="H43">
        <v>1943.17</v>
      </c>
      <c r="I43">
        <v>142.36799999999999</v>
      </c>
      <c r="J43">
        <v>6.1360000000000001</v>
      </c>
      <c r="K43">
        <v>194.3</v>
      </c>
      <c r="L43">
        <v>28.47</v>
      </c>
      <c r="M43">
        <v>1</v>
      </c>
      <c r="N43">
        <v>220.6</v>
      </c>
      <c r="O43">
        <v>44.61</v>
      </c>
      <c r="P43">
        <v>12990</v>
      </c>
    </row>
    <row r="44" spans="1:16" x14ac:dyDescent="0.2">
      <c r="A44" t="s">
        <v>265</v>
      </c>
      <c r="B44">
        <v>3340</v>
      </c>
      <c r="C44">
        <v>2014.85</v>
      </c>
      <c r="D44">
        <v>1307.6400000000001</v>
      </c>
      <c r="E44">
        <v>1352</v>
      </c>
      <c r="F44">
        <v>1147</v>
      </c>
      <c r="G44">
        <v>9.07</v>
      </c>
      <c r="H44">
        <v>2772</v>
      </c>
      <c r="I44">
        <v>204.9</v>
      </c>
      <c r="J44">
        <v>7.7759999999999998</v>
      </c>
      <c r="K44">
        <v>252</v>
      </c>
      <c r="L44">
        <v>37.25</v>
      </c>
      <c r="M44">
        <v>1</v>
      </c>
      <c r="N44">
        <v>285.39999999999998</v>
      </c>
      <c r="O44">
        <v>58.11</v>
      </c>
      <c r="P44">
        <v>22670</v>
      </c>
    </row>
    <row r="45" spans="1:16" x14ac:dyDescent="0.2">
      <c r="A45" t="s">
        <v>180</v>
      </c>
      <c r="B45">
        <v>3912</v>
      </c>
      <c r="C45">
        <v>2352</v>
      </c>
      <c r="D45">
        <v>1488</v>
      </c>
      <c r="E45">
        <v>1960</v>
      </c>
      <c r="F45">
        <v>1240</v>
      </c>
      <c r="G45">
        <v>12.88</v>
      </c>
      <c r="H45">
        <v>3892</v>
      </c>
      <c r="I45">
        <v>283.60000000000002</v>
      </c>
      <c r="J45">
        <v>13.1428571428571</v>
      </c>
      <c r="K45">
        <v>324.3</v>
      </c>
      <c r="L45">
        <v>47.27</v>
      </c>
      <c r="M45">
        <v>1</v>
      </c>
      <c r="N45">
        <v>366.6</v>
      </c>
      <c r="O45">
        <v>73.92</v>
      </c>
      <c r="P45">
        <v>37390</v>
      </c>
    </row>
    <row r="46" spans="1:16" x14ac:dyDescent="0.2">
      <c r="A46" t="s">
        <v>186</v>
      </c>
      <c r="B46">
        <v>4594.5</v>
      </c>
      <c r="C46">
        <v>2754</v>
      </c>
      <c r="D46">
        <v>1804</v>
      </c>
      <c r="E46">
        <v>1839</v>
      </c>
      <c r="F46">
        <v>1580</v>
      </c>
      <c r="G46">
        <v>15.94</v>
      </c>
      <c r="H46">
        <v>5790</v>
      </c>
      <c r="I46">
        <v>419.9</v>
      </c>
      <c r="J46">
        <v>11.8</v>
      </c>
      <c r="K46">
        <v>428.9</v>
      </c>
      <c r="L46">
        <v>62.2</v>
      </c>
      <c r="M46">
        <v>1</v>
      </c>
      <c r="N46">
        <v>484</v>
      </c>
      <c r="O46">
        <v>96.95</v>
      </c>
      <c r="P46">
        <v>70580</v>
      </c>
    </row>
    <row r="47" spans="1:16" x14ac:dyDescent="0.2">
      <c r="A47" t="s">
        <v>194</v>
      </c>
      <c r="B47">
        <v>5380</v>
      </c>
      <c r="C47">
        <v>3210</v>
      </c>
      <c r="D47">
        <v>2130</v>
      </c>
      <c r="E47">
        <v>2675</v>
      </c>
      <c r="F47">
        <v>1775</v>
      </c>
      <c r="G47">
        <v>20.12</v>
      </c>
      <c r="H47">
        <v>8356</v>
      </c>
      <c r="I47">
        <v>603.79999999999995</v>
      </c>
      <c r="J47">
        <v>18.8</v>
      </c>
      <c r="K47">
        <v>557.1</v>
      </c>
      <c r="L47">
        <v>80.5</v>
      </c>
      <c r="M47">
        <v>1</v>
      </c>
      <c r="N47">
        <v>628.4</v>
      </c>
      <c r="O47">
        <v>125.2</v>
      </c>
      <c r="P47">
        <v>125900</v>
      </c>
    </row>
    <row r="48" spans="1:16" x14ac:dyDescent="0.2">
      <c r="A48" t="s">
        <v>181</v>
      </c>
      <c r="B48">
        <v>6261</v>
      </c>
      <c r="C48">
        <v>3680</v>
      </c>
      <c r="D48">
        <v>2475</v>
      </c>
      <c r="E48">
        <v>3066.6666666666702</v>
      </c>
      <c r="F48">
        <v>2062.5</v>
      </c>
      <c r="G48">
        <v>28.15</v>
      </c>
      <c r="H48">
        <v>11770</v>
      </c>
      <c r="I48">
        <v>788.1</v>
      </c>
      <c r="J48">
        <v>24.478260869565201</v>
      </c>
      <c r="K48">
        <v>713.1</v>
      </c>
      <c r="L48">
        <v>98.52</v>
      </c>
      <c r="M48">
        <v>1</v>
      </c>
      <c r="N48">
        <v>804.3</v>
      </c>
      <c r="O48">
        <v>153.69999999999999</v>
      </c>
      <c r="P48">
        <v>199100</v>
      </c>
    </row>
    <row r="49" spans="1:16" x14ac:dyDescent="0.2">
      <c r="A49" t="s">
        <v>195</v>
      </c>
      <c r="B49">
        <v>7270</v>
      </c>
      <c r="C49">
        <v>4318</v>
      </c>
      <c r="D49">
        <v>2880</v>
      </c>
      <c r="E49">
        <v>3598</v>
      </c>
      <c r="F49">
        <v>2400</v>
      </c>
      <c r="G49">
        <v>37.32</v>
      </c>
      <c r="H49">
        <v>16270</v>
      </c>
      <c r="I49">
        <v>1043</v>
      </c>
      <c r="J49">
        <v>29.4</v>
      </c>
      <c r="K49">
        <v>903.6</v>
      </c>
      <c r="L49">
        <v>122.8</v>
      </c>
      <c r="M49">
        <v>1</v>
      </c>
      <c r="N49">
        <v>1019</v>
      </c>
      <c r="O49">
        <v>191.1</v>
      </c>
      <c r="P49">
        <v>313600</v>
      </c>
    </row>
    <row r="50" spans="1:16" x14ac:dyDescent="0.2">
      <c r="A50" t="s">
        <v>196</v>
      </c>
      <c r="B50">
        <v>8450</v>
      </c>
      <c r="C50">
        <v>4860</v>
      </c>
      <c r="D50">
        <v>3440</v>
      </c>
      <c r="E50">
        <v>4050</v>
      </c>
      <c r="F50">
        <v>2867</v>
      </c>
      <c r="G50">
        <v>51.08</v>
      </c>
      <c r="H50">
        <v>23130</v>
      </c>
      <c r="I50">
        <v>1318</v>
      </c>
      <c r="J50">
        <v>37.799999999999997</v>
      </c>
      <c r="K50">
        <v>1156</v>
      </c>
      <c r="L50">
        <v>146.4</v>
      </c>
      <c r="M50">
        <v>1</v>
      </c>
      <c r="N50">
        <v>1307</v>
      </c>
      <c r="O50">
        <v>229</v>
      </c>
      <c r="P50">
        <v>490000</v>
      </c>
    </row>
    <row r="51" spans="1:16" x14ac:dyDescent="0.2">
      <c r="A51" t="s">
        <v>210</v>
      </c>
      <c r="B51">
        <v>9882</v>
      </c>
      <c r="C51">
        <v>5548</v>
      </c>
      <c r="D51">
        <v>4230</v>
      </c>
      <c r="E51">
        <v>4623.3333333333303</v>
      </c>
      <c r="F51">
        <v>3525</v>
      </c>
      <c r="G51">
        <v>66.87</v>
      </c>
      <c r="H51">
        <v>33740</v>
      </c>
      <c r="I51">
        <v>1676</v>
      </c>
      <c r="J51">
        <v>45.801369863013697</v>
      </c>
      <c r="K51">
        <v>1500</v>
      </c>
      <c r="L51">
        <v>176.4</v>
      </c>
      <c r="M51">
        <v>1</v>
      </c>
      <c r="N51">
        <v>1702</v>
      </c>
      <c r="O51">
        <v>276.39999999999998</v>
      </c>
      <c r="P51">
        <v>791000</v>
      </c>
    </row>
    <row r="52" spans="1:16" x14ac:dyDescent="0.2">
      <c r="A52" t="s">
        <v>211</v>
      </c>
      <c r="B52">
        <v>11550</v>
      </c>
      <c r="C52">
        <v>6400</v>
      </c>
      <c r="D52">
        <v>5100</v>
      </c>
      <c r="E52">
        <v>5333.3333333333303</v>
      </c>
      <c r="F52">
        <v>4250</v>
      </c>
      <c r="G52">
        <v>89.29</v>
      </c>
      <c r="H52">
        <v>48200</v>
      </c>
      <c r="I52">
        <v>2142</v>
      </c>
      <c r="J52">
        <v>55.806249999999999</v>
      </c>
      <c r="K52">
        <v>1928</v>
      </c>
      <c r="L52">
        <v>214.2</v>
      </c>
      <c r="M52">
        <v>1</v>
      </c>
      <c r="N52">
        <v>2194</v>
      </c>
      <c r="O52">
        <v>335.9</v>
      </c>
      <c r="P52">
        <v>1249000</v>
      </c>
    </row>
    <row r="53" spans="1:16" x14ac:dyDescent="0.2">
      <c r="A53" t="s">
        <v>199</v>
      </c>
      <c r="B53">
        <v>13400</v>
      </c>
      <c r="C53">
        <v>7224</v>
      </c>
      <c r="D53">
        <v>6105</v>
      </c>
      <c r="E53">
        <v>6020</v>
      </c>
      <c r="F53">
        <v>5087.5</v>
      </c>
      <c r="G53">
        <v>123.2</v>
      </c>
      <c r="H53">
        <v>67120</v>
      </c>
      <c r="I53">
        <v>2668</v>
      </c>
      <c r="J53">
        <v>71.627906976744185</v>
      </c>
      <c r="K53">
        <v>2441</v>
      </c>
      <c r="L53">
        <v>254.1</v>
      </c>
      <c r="M53">
        <v>1</v>
      </c>
      <c r="N53">
        <v>2787</v>
      </c>
      <c r="O53">
        <v>400.5</v>
      </c>
      <c r="P53">
        <v>1884000</v>
      </c>
    </row>
    <row r="54" spans="1:16" x14ac:dyDescent="0.2">
      <c r="A54" t="s">
        <v>212</v>
      </c>
      <c r="B54">
        <v>15600</v>
      </c>
      <c r="C54">
        <v>8360</v>
      </c>
      <c r="D54">
        <v>7200</v>
      </c>
      <c r="E54">
        <v>6966.6666666666697</v>
      </c>
      <c r="F54">
        <v>6000</v>
      </c>
      <c r="G54">
        <v>165.4</v>
      </c>
      <c r="H54">
        <v>92080</v>
      </c>
      <c r="I54">
        <v>3387</v>
      </c>
      <c r="J54">
        <v>87.052631578947398</v>
      </c>
      <c r="K54">
        <v>3069</v>
      </c>
      <c r="L54">
        <v>307.89999999999998</v>
      </c>
      <c r="M54">
        <v>1</v>
      </c>
      <c r="N54">
        <v>3512</v>
      </c>
      <c r="O54">
        <v>485.6</v>
      </c>
      <c r="P54">
        <v>2846000</v>
      </c>
    </row>
    <row r="55" spans="1:16" x14ac:dyDescent="0.2">
      <c r="A55" t="s">
        <v>54</v>
      </c>
      <c r="B55">
        <v>758</v>
      </c>
      <c r="C55">
        <v>495.6</v>
      </c>
      <c r="D55">
        <v>312</v>
      </c>
      <c r="E55">
        <v>413</v>
      </c>
      <c r="F55">
        <v>260</v>
      </c>
      <c r="G55">
        <v>0.87</v>
      </c>
      <c r="H55">
        <v>77.8</v>
      </c>
      <c r="I55">
        <v>6.29</v>
      </c>
      <c r="J55">
        <v>1.4745762711864401</v>
      </c>
      <c r="K55">
        <v>19.5</v>
      </c>
      <c r="L55">
        <v>3</v>
      </c>
      <c r="M55">
        <v>1</v>
      </c>
      <c r="N55">
        <v>22.8</v>
      </c>
      <c r="O55">
        <v>5</v>
      </c>
      <c r="P55">
        <v>90</v>
      </c>
    </row>
    <row r="56" spans="1:16" x14ac:dyDescent="0.2">
      <c r="A56" t="s">
        <v>55</v>
      </c>
      <c r="B56">
        <v>1060</v>
      </c>
      <c r="C56">
        <v>680</v>
      </c>
      <c r="D56">
        <v>450</v>
      </c>
      <c r="E56">
        <v>566.66666666666674</v>
      </c>
      <c r="F56">
        <v>375.00000000000006</v>
      </c>
      <c r="G56">
        <v>1.6</v>
      </c>
      <c r="H56">
        <v>171</v>
      </c>
      <c r="I56">
        <v>12.2</v>
      </c>
      <c r="J56">
        <v>2.3529411764705883</v>
      </c>
      <c r="K56">
        <v>34.200000000000003</v>
      </c>
      <c r="L56">
        <v>4.88</v>
      </c>
      <c r="M56">
        <v>1</v>
      </c>
      <c r="N56">
        <v>39.799999999999997</v>
      </c>
      <c r="O56">
        <v>8.1</v>
      </c>
      <c r="P56">
        <v>270</v>
      </c>
    </row>
    <row r="57" spans="1:16" x14ac:dyDescent="0.2">
      <c r="A57" t="s">
        <v>56</v>
      </c>
      <c r="B57">
        <v>1420</v>
      </c>
      <c r="C57">
        <v>893.2</v>
      </c>
      <c r="D57">
        <v>612</v>
      </c>
      <c r="E57">
        <v>744.33333333333337</v>
      </c>
      <c r="F57">
        <v>509.99999999999994</v>
      </c>
      <c r="G57">
        <v>2.71</v>
      </c>
      <c r="H57">
        <v>328</v>
      </c>
      <c r="I57">
        <v>21.5</v>
      </c>
      <c r="J57">
        <v>3.5194805194805197</v>
      </c>
      <c r="K57">
        <v>54.7</v>
      </c>
      <c r="L57">
        <v>7.41</v>
      </c>
      <c r="M57">
        <v>1</v>
      </c>
      <c r="N57">
        <v>63.6</v>
      </c>
      <c r="O57">
        <v>12.4</v>
      </c>
      <c r="P57">
        <v>690</v>
      </c>
    </row>
    <row r="58" spans="1:16" x14ac:dyDescent="0.2">
      <c r="A58" t="s">
        <v>57</v>
      </c>
      <c r="B58">
        <v>1830</v>
      </c>
      <c r="C58">
        <v>1135.2</v>
      </c>
      <c r="D58">
        <v>798</v>
      </c>
      <c r="E58">
        <v>946</v>
      </c>
      <c r="F58">
        <v>665</v>
      </c>
      <c r="G58">
        <v>4.32</v>
      </c>
      <c r="H58">
        <v>573</v>
      </c>
      <c r="I58">
        <v>35.200000000000003</v>
      </c>
      <c r="J58">
        <v>5.0232558139534893</v>
      </c>
      <c r="K58">
        <v>81.900000000000006</v>
      </c>
      <c r="L58">
        <v>10.7</v>
      </c>
      <c r="M58">
        <v>1</v>
      </c>
      <c r="N58">
        <v>95.4</v>
      </c>
      <c r="O58">
        <v>17.899999999999999</v>
      </c>
      <c r="P58">
        <v>1540</v>
      </c>
    </row>
    <row r="59" spans="1:16" x14ac:dyDescent="0.2">
      <c r="A59" t="s">
        <v>58</v>
      </c>
      <c r="B59">
        <v>2280</v>
      </c>
      <c r="C59">
        <v>1406</v>
      </c>
      <c r="D59">
        <v>1008</v>
      </c>
      <c r="E59">
        <v>1171.6666666666667</v>
      </c>
      <c r="F59">
        <v>840</v>
      </c>
      <c r="G59">
        <v>6.57</v>
      </c>
      <c r="H59">
        <v>935</v>
      </c>
      <c r="I59">
        <v>54.7</v>
      </c>
      <c r="J59">
        <v>6.9157894736842112</v>
      </c>
      <c r="K59">
        <v>117</v>
      </c>
      <c r="L59">
        <v>14.8</v>
      </c>
      <c r="M59">
        <v>1</v>
      </c>
      <c r="N59">
        <v>136</v>
      </c>
      <c r="O59">
        <v>24.9</v>
      </c>
      <c r="P59">
        <v>3140</v>
      </c>
    </row>
    <row r="60" spans="1:16" x14ac:dyDescent="0.2">
      <c r="A60" t="s">
        <v>59</v>
      </c>
      <c r="B60">
        <v>2790</v>
      </c>
      <c r="C60">
        <v>1705.6000000000001</v>
      </c>
      <c r="D60">
        <v>1242</v>
      </c>
      <c r="E60">
        <v>1421.3333333333335</v>
      </c>
      <c r="F60">
        <v>1035</v>
      </c>
      <c r="G60">
        <v>9.58</v>
      </c>
      <c r="H60">
        <v>1450</v>
      </c>
      <c r="I60">
        <v>81.3</v>
      </c>
      <c r="J60">
        <v>9.2115384615384617</v>
      </c>
      <c r="K60">
        <v>161</v>
      </c>
      <c r="L60">
        <v>19.8</v>
      </c>
      <c r="M60">
        <v>1</v>
      </c>
      <c r="N60">
        <v>187</v>
      </c>
      <c r="O60">
        <v>33.200000000000003</v>
      </c>
      <c r="P60">
        <v>5920</v>
      </c>
    </row>
    <row r="61" spans="1:16" x14ac:dyDescent="0.2">
      <c r="A61" t="s">
        <v>60</v>
      </c>
      <c r="B61">
        <v>3340</v>
      </c>
      <c r="C61">
        <v>2034.0000000000002</v>
      </c>
      <c r="D61">
        <v>1500</v>
      </c>
      <c r="E61">
        <v>1695</v>
      </c>
      <c r="F61">
        <v>1250.0000000000002</v>
      </c>
      <c r="G61">
        <v>13.5</v>
      </c>
      <c r="H61">
        <v>2140</v>
      </c>
      <c r="I61">
        <v>117</v>
      </c>
      <c r="J61">
        <v>11.946902654867255</v>
      </c>
      <c r="K61">
        <v>214</v>
      </c>
      <c r="L61">
        <v>26</v>
      </c>
      <c r="M61">
        <v>1</v>
      </c>
      <c r="N61">
        <v>250</v>
      </c>
      <c r="O61">
        <v>43.5</v>
      </c>
      <c r="P61">
        <v>10500</v>
      </c>
    </row>
    <row r="62" spans="1:16" x14ac:dyDescent="0.2">
      <c r="A62" t="s">
        <v>61</v>
      </c>
      <c r="B62">
        <v>3950</v>
      </c>
      <c r="C62">
        <v>2391.1999999999998</v>
      </c>
      <c r="D62">
        <v>1782</v>
      </c>
      <c r="E62">
        <v>1992.6666666666667</v>
      </c>
      <c r="F62">
        <v>1485</v>
      </c>
      <c r="G62">
        <v>18.600000000000001</v>
      </c>
      <c r="H62">
        <v>3060</v>
      </c>
      <c r="I62">
        <v>162</v>
      </c>
      <c r="J62">
        <v>15.245901639344263</v>
      </c>
      <c r="K62">
        <v>278</v>
      </c>
      <c r="L62">
        <v>33.1</v>
      </c>
      <c r="M62">
        <v>1</v>
      </c>
      <c r="N62">
        <v>324</v>
      </c>
      <c r="O62">
        <v>55.7</v>
      </c>
      <c r="P62">
        <v>17800</v>
      </c>
    </row>
    <row r="63" spans="1:16" x14ac:dyDescent="0.2">
      <c r="A63" t="s">
        <v>62</v>
      </c>
      <c r="B63">
        <v>4610</v>
      </c>
      <c r="C63">
        <v>2777.2</v>
      </c>
      <c r="D63">
        <v>2088</v>
      </c>
      <c r="E63">
        <v>2314.3333333333335</v>
      </c>
      <c r="F63">
        <v>1739.9999999999998</v>
      </c>
      <c r="G63">
        <v>25</v>
      </c>
      <c r="H63">
        <v>4250</v>
      </c>
      <c r="I63">
        <v>221</v>
      </c>
      <c r="J63">
        <v>19.083969465648856</v>
      </c>
      <c r="K63">
        <v>354</v>
      </c>
      <c r="L63">
        <v>41.7</v>
      </c>
      <c r="M63">
        <v>1</v>
      </c>
      <c r="N63">
        <v>412</v>
      </c>
      <c r="O63">
        <v>70</v>
      </c>
      <c r="P63">
        <v>28700</v>
      </c>
    </row>
    <row r="64" spans="1:16" x14ac:dyDescent="0.2">
      <c r="A64" t="s">
        <v>63</v>
      </c>
      <c r="B64">
        <v>5330</v>
      </c>
      <c r="C64">
        <v>3186.6</v>
      </c>
      <c r="D64">
        <v>2444</v>
      </c>
      <c r="E64">
        <v>2655.5</v>
      </c>
      <c r="F64">
        <v>2036.666666666667</v>
      </c>
      <c r="G64">
        <v>33.5</v>
      </c>
      <c r="H64">
        <v>5740</v>
      </c>
      <c r="I64">
        <v>288</v>
      </c>
      <c r="J64">
        <v>23.75886524822695</v>
      </c>
      <c r="K64">
        <v>442</v>
      </c>
      <c r="L64">
        <v>51</v>
      </c>
      <c r="M64">
        <v>1</v>
      </c>
      <c r="N64">
        <v>514</v>
      </c>
      <c r="O64">
        <v>85.9</v>
      </c>
      <c r="P64">
        <v>44100</v>
      </c>
    </row>
    <row r="65" spans="1:16" x14ac:dyDescent="0.2">
      <c r="A65" t="s">
        <v>64</v>
      </c>
      <c r="B65">
        <v>6100</v>
      </c>
      <c r="C65">
        <v>3617.6</v>
      </c>
      <c r="D65">
        <v>2828</v>
      </c>
      <c r="E65">
        <v>3014.6666666666665</v>
      </c>
      <c r="F65">
        <v>2356.6666666666665</v>
      </c>
      <c r="G65">
        <v>44.2</v>
      </c>
      <c r="H65">
        <v>7590</v>
      </c>
      <c r="I65">
        <v>364</v>
      </c>
      <c r="J65">
        <v>29.078947368421055</v>
      </c>
      <c r="K65">
        <v>542</v>
      </c>
      <c r="L65">
        <v>61.2</v>
      </c>
      <c r="M65">
        <v>1</v>
      </c>
      <c r="N65">
        <v>632</v>
      </c>
      <c r="O65">
        <v>103</v>
      </c>
      <c r="P65">
        <v>64600</v>
      </c>
    </row>
    <row r="66" spans="1:16" x14ac:dyDescent="0.2">
      <c r="A66" t="s">
        <v>65</v>
      </c>
      <c r="B66">
        <v>6900</v>
      </c>
      <c r="C66">
        <v>4050</v>
      </c>
      <c r="D66">
        <v>3240</v>
      </c>
      <c r="E66">
        <v>3375</v>
      </c>
      <c r="F66">
        <v>2700</v>
      </c>
      <c r="G66">
        <v>56.8</v>
      </c>
      <c r="H66">
        <v>9800</v>
      </c>
      <c r="I66">
        <v>451</v>
      </c>
      <c r="J66">
        <v>35.061728395061728</v>
      </c>
      <c r="K66">
        <v>653</v>
      </c>
      <c r="L66">
        <v>72.2</v>
      </c>
      <c r="M66">
        <v>1</v>
      </c>
      <c r="N66">
        <v>762</v>
      </c>
      <c r="O66">
        <v>121</v>
      </c>
      <c r="P66">
        <v>91800</v>
      </c>
    </row>
    <row r="67" spans="1:16" x14ac:dyDescent="0.2">
      <c r="A67" t="s">
        <v>66</v>
      </c>
      <c r="B67">
        <v>7770</v>
      </c>
      <c r="C67">
        <v>4532.6000000000004</v>
      </c>
      <c r="D67">
        <v>3680</v>
      </c>
      <c r="E67">
        <v>3777.166666666667</v>
      </c>
      <c r="F67">
        <v>3066.666666666667</v>
      </c>
      <c r="G67">
        <v>72.5</v>
      </c>
      <c r="H67">
        <v>12510</v>
      </c>
      <c r="I67">
        <v>555</v>
      </c>
      <c r="J67">
        <v>41.907514450867048</v>
      </c>
      <c r="K67">
        <v>782</v>
      </c>
      <c r="L67">
        <v>84.7</v>
      </c>
      <c r="M67">
        <v>1</v>
      </c>
      <c r="N67">
        <v>914</v>
      </c>
      <c r="O67">
        <v>143</v>
      </c>
      <c r="P67">
        <v>129000</v>
      </c>
    </row>
    <row r="68" spans="1:16" x14ac:dyDescent="0.2">
      <c r="A68" t="s">
        <v>67</v>
      </c>
      <c r="B68">
        <v>8670</v>
      </c>
      <c r="C68">
        <v>5014.2</v>
      </c>
      <c r="D68">
        <v>4148</v>
      </c>
      <c r="E68">
        <v>4178.5</v>
      </c>
      <c r="F68">
        <v>3456.666666666667</v>
      </c>
      <c r="G68">
        <v>90.4</v>
      </c>
      <c r="H68">
        <v>15700</v>
      </c>
      <c r="I68">
        <v>674</v>
      </c>
      <c r="J68">
        <v>49.398907103825138</v>
      </c>
      <c r="K68">
        <v>923</v>
      </c>
      <c r="L68">
        <v>98.4</v>
      </c>
      <c r="M68">
        <v>1</v>
      </c>
      <c r="N68">
        <v>1080</v>
      </c>
      <c r="O68">
        <v>166</v>
      </c>
      <c r="P68">
        <v>176000</v>
      </c>
    </row>
    <row r="69" spans="1:16" x14ac:dyDescent="0.2">
      <c r="A69" t="s">
        <v>68</v>
      </c>
      <c r="B69">
        <v>9700</v>
      </c>
      <c r="C69">
        <v>5577</v>
      </c>
      <c r="D69">
        <v>4680</v>
      </c>
      <c r="E69">
        <v>4647.5</v>
      </c>
      <c r="F69">
        <v>3900</v>
      </c>
      <c r="G69">
        <v>115</v>
      </c>
      <c r="H69">
        <v>19610</v>
      </c>
      <c r="I69">
        <v>818</v>
      </c>
      <c r="J69">
        <v>58.974358974358971</v>
      </c>
      <c r="K69">
        <v>1090</v>
      </c>
      <c r="L69">
        <v>114</v>
      </c>
      <c r="M69">
        <v>1</v>
      </c>
      <c r="N69">
        <v>1276</v>
      </c>
      <c r="O69">
        <v>194</v>
      </c>
      <c r="P69">
        <v>240000</v>
      </c>
    </row>
    <row r="70" spans="1:16" x14ac:dyDescent="0.2">
      <c r="A70" t="s">
        <v>69</v>
      </c>
      <c r="B70">
        <v>10700</v>
      </c>
      <c r="C70">
        <v>6109</v>
      </c>
      <c r="D70">
        <v>5206</v>
      </c>
      <c r="E70">
        <v>5090.8333333333339</v>
      </c>
      <c r="F70">
        <v>4338.333333333333</v>
      </c>
      <c r="G70">
        <v>141</v>
      </c>
      <c r="H70">
        <v>24010</v>
      </c>
      <c r="I70">
        <v>975</v>
      </c>
      <c r="J70">
        <v>68.780487804878049</v>
      </c>
      <c r="K70">
        <v>1260</v>
      </c>
      <c r="L70">
        <v>131</v>
      </c>
      <c r="M70">
        <v>1</v>
      </c>
      <c r="N70">
        <v>1482</v>
      </c>
      <c r="O70">
        <v>221</v>
      </c>
      <c r="P70">
        <v>319000</v>
      </c>
    </row>
    <row r="71" spans="1:16" x14ac:dyDescent="0.2">
      <c r="A71" t="s">
        <v>70</v>
      </c>
      <c r="B71">
        <v>11800</v>
      </c>
      <c r="C71">
        <v>6696</v>
      </c>
      <c r="D71">
        <v>5760</v>
      </c>
      <c r="E71">
        <v>5580.0000000000009</v>
      </c>
      <c r="F71">
        <v>4800.0000000000009</v>
      </c>
      <c r="G71">
        <v>170</v>
      </c>
      <c r="H71">
        <v>29210</v>
      </c>
      <c r="I71">
        <v>1160</v>
      </c>
      <c r="J71">
        <v>78.703703703703695</v>
      </c>
      <c r="K71">
        <v>1460</v>
      </c>
      <c r="L71">
        <v>149</v>
      </c>
      <c r="M71">
        <v>1</v>
      </c>
      <c r="N71">
        <v>1714</v>
      </c>
      <c r="O71">
        <v>253</v>
      </c>
      <c r="P71">
        <v>420000</v>
      </c>
    </row>
    <row r="72" spans="1:16" x14ac:dyDescent="0.2">
      <c r="A72" t="s">
        <v>71</v>
      </c>
      <c r="B72">
        <v>14700</v>
      </c>
      <c r="C72">
        <v>8262</v>
      </c>
      <c r="D72">
        <v>7290</v>
      </c>
      <c r="E72">
        <v>6885.0000000000009</v>
      </c>
      <c r="F72">
        <v>6075</v>
      </c>
      <c r="G72">
        <v>267</v>
      </c>
      <c r="H72">
        <v>45850</v>
      </c>
      <c r="I72">
        <v>1730</v>
      </c>
      <c r="J72">
        <v>109.87654320987654</v>
      </c>
      <c r="K72">
        <v>2040</v>
      </c>
      <c r="L72">
        <v>203</v>
      </c>
      <c r="M72">
        <v>1</v>
      </c>
      <c r="N72">
        <v>2400</v>
      </c>
      <c r="O72">
        <v>345</v>
      </c>
      <c r="P72">
        <v>791000</v>
      </c>
    </row>
    <row r="73" spans="1:16" x14ac:dyDescent="0.2">
      <c r="A73" t="s">
        <v>72</v>
      </c>
      <c r="B73">
        <v>17900</v>
      </c>
      <c r="C73">
        <v>9990</v>
      </c>
      <c r="D73">
        <v>9000</v>
      </c>
      <c r="E73">
        <v>8325.0000000000018</v>
      </c>
      <c r="F73">
        <v>7500</v>
      </c>
      <c r="G73">
        <v>402</v>
      </c>
      <c r="H73">
        <v>68740</v>
      </c>
      <c r="I73">
        <v>2480</v>
      </c>
      <c r="J73">
        <v>148.88888888888889</v>
      </c>
      <c r="K73">
        <v>2750</v>
      </c>
      <c r="L73">
        <v>268</v>
      </c>
      <c r="M73">
        <v>1</v>
      </c>
      <c r="N73">
        <v>3240</v>
      </c>
      <c r="O73">
        <v>456</v>
      </c>
      <c r="P73">
        <v>1400000</v>
      </c>
    </row>
    <row r="74" spans="1:16" x14ac:dyDescent="0.2">
      <c r="A74" t="s">
        <v>73</v>
      </c>
      <c r="B74">
        <v>21200</v>
      </c>
      <c r="C74">
        <v>12000</v>
      </c>
      <c r="D74">
        <v>10450</v>
      </c>
      <c r="E74">
        <v>10000.000000000002</v>
      </c>
      <c r="F74">
        <v>8708.3333333333339</v>
      </c>
      <c r="G74">
        <v>544</v>
      </c>
      <c r="H74">
        <v>99180</v>
      </c>
      <c r="I74">
        <v>3490</v>
      </c>
      <c r="J74">
        <v>181.33333333333334</v>
      </c>
      <c r="K74">
        <v>3610</v>
      </c>
      <c r="L74">
        <v>349</v>
      </c>
      <c r="M74">
        <v>1</v>
      </c>
      <c r="N74">
        <v>4240</v>
      </c>
      <c r="O74">
        <v>592</v>
      </c>
      <c r="P74">
        <v>2390000</v>
      </c>
    </row>
    <row r="75" spans="1:16" x14ac:dyDescent="0.2">
      <c r="A75" t="s">
        <v>74</v>
      </c>
      <c r="B75">
        <v>25400</v>
      </c>
      <c r="C75">
        <v>13932</v>
      </c>
      <c r="D75">
        <v>12960</v>
      </c>
      <c r="E75">
        <v>11610</v>
      </c>
      <c r="F75">
        <v>10800</v>
      </c>
      <c r="G75">
        <v>787</v>
      </c>
      <c r="H75">
        <v>138800</v>
      </c>
      <c r="I75">
        <v>4674</v>
      </c>
      <c r="J75">
        <v>242.90123456790124</v>
      </c>
      <c r="K75">
        <v>4627</v>
      </c>
      <c r="L75">
        <v>435</v>
      </c>
      <c r="M75">
        <v>1</v>
      </c>
      <c r="N75">
        <v>5452</v>
      </c>
      <c r="O75">
        <v>752</v>
      </c>
      <c r="P75">
        <v>3814000</v>
      </c>
    </row>
    <row r="76" spans="1:16" x14ac:dyDescent="0.2">
      <c r="A76" t="s">
        <v>253</v>
      </c>
      <c r="B76">
        <v>3.08</v>
      </c>
      <c r="C76">
        <v>160</v>
      </c>
      <c r="D76">
        <v>160</v>
      </c>
      <c r="E76">
        <v>133.333333333333</v>
      </c>
      <c r="F76">
        <v>133.333333333333</v>
      </c>
      <c r="G76">
        <v>0.16</v>
      </c>
      <c r="H76">
        <v>4.47</v>
      </c>
      <c r="I76">
        <v>4.47</v>
      </c>
      <c r="J76">
        <v>0.4</v>
      </c>
      <c r="K76">
        <v>1.55</v>
      </c>
      <c r="L76">
        <v>1.55</v>
      </c>
      <c r="M76">
        <v>3</v>
      </c>
      <c r="N76">
        <v>1.55</v>
      </c>
      <c r="O76">
        <v>1.55</v>
      </c>
      <c r="P76">
        <v>0</v>
      </c>
    </row>
    <row r="77" spans="1:16" x14ac:dyDescent="0.2">
      <c r="A77" t="s">
        <v>183</v>
      </c>
      <c r="B77">
        <v>390</v>
      </c>
      <c r="C77">
        <v>202.5</v>
      </c>
      <c r="D77">
        <v>202.5</v>
      </c>
      <c r="E77">
        <v>168.75</v>
      </c>
      <c r="F77">
        <v>168.75</v>
      </c>
      <c r="G77">
        <v>0.26</v>
      </c>
      <c r="H77">
        <v>7.15</v>
      </c>
      <c r="I77">
        <v>7.15</v>
      </c>
      <c r="J77">
        <v>0.57777777777777795</v>
      </c>
      <c r="K77">
        <v>2.2000000000000002</v>
      </c>
      <c r="L77">
        <v>2.2000000000000002</v>
      </c>
      <c r="M77">
        <v>3</v>
      </c>
      <c r="N77">
        <v>2.2000000000000002</v>
      </c>
      <c r="O77">
        <v>2.2000000000000002</v>
      </c>
      <c r="P77">
        <v>0</v>
      </c>
    </row>
    <row r="78" spans="1:16" x14ac:dyDescent="0.2">
      <c r="A78" t="s">
        <v>174</v>
      </c>
      <c r="B78">
        <v>480.25799999999998</v>
      </c>
      <c r="C78">
        <v>250</v>
      </c>
      <c r="D78">
        <v>250</v>
      </c>
      <c r="E78">
        <v>250</v>
      </c>
      <c r="F78">
        <v>250</v>
      </c>
      <c r="G78">
        <v>0.39583000000000002</v>
      </c>
      <c r="H78">
        <v>10.96</v>
      </c>
      <c r="I78">
        <v>10.96</v>
      </c>
      <c r="J78">
        <v>0.82599999999999996</v>
      </c>
      <c r="K78">
        <v>3.05</v>
      </c>
      <c r="L78">
        <v>3.05</v>
      </c>
      <c r="M78">
        <v>3</v>
      </c>
      <c r="N78">
        <v>3.05</v>
      </c>
      <c r="O78">
        <v>3.05</v>
      </c>
      <c r="P78">
        <v>0</v>
      </c>
    </row>
    <row r="79" spans="1:16" x14ac:dyDescent="0.2">
      <c r="A79" t="s">
        <v>175</v>
      </c>
      <c r="B79">
        <v>690.68700000000001</v>
      </c>
      <c r="C79">
        <v>360</v>
      </c>
      <c r="D79">
        <v>360</v>
      </c>
      <c r="E79">
        <v>360</v>
      </c>
      <c r="F79">
        <v>360</v>
      </c>
      <c r="G79">
        <v>0.82079999999999997</v>
      </c>
      <c r="H79">
        <v>22.79</v>
      </c>
      <c r="I79">
        <v>22.79</v>
      </c>
      <c r="J79">
        <v>1.22</v>
      </c>
      <c r="K79">
        <v>5.2900232018561502</v>
      </c>
      <c r="L79">
        <v>5.2900232018561502</v>
      </c>
      <c r="M79">
        <v>3</v>
      </c>
      <c r="N79">
        <v>5.2900232018561502</v>
      </c>
      <c r="O79">
        <v>5.2900232018561502</v>
      </c>
      <c r="P79">
        <v>0</v>
      </c>
    </row>
    <row r="80" spans="1:16" x14ac:dyDescent="0.2">
      <c r="A80" t="s">
        <v>176</v>
      </c>
      <c r="B80">
        <v>939.69100000000003</v>
      </c>
      <c r="C80">
        <v>490</v>
      </c>
      <c r="D80">
        <v>490</v>
      </c>
      <c r="E80">
        <v>490</v>
      </c>
      <c r="F80">
        <v>490</v>
      </c>
      <c r="G80">
        <v>1.5206</v>
      </c>
      <c r="H80">
        <v>42.3</v>
      </c>
      <c r="I80">
        <v>42.3</v>
      </c>
      <c r="J80">
        <v>1.9371428571428599</v>
      </c>
      <c r="K80">
        <v>8.4095427435387702</v>
      </c>
      <c r="L80">
        <v>8.4095427435387702</v>
      </c>
      <c r="M80">
        <v>3</v>
      </c>
      <c r="N80">
        <v>8.4095427435387702</v>
      </c>
      <c r="O80">
        <v>8.4095427435387702</v>
      </c>
      <c r="P80">
        <v>0</v>
      </c>
    </row>
    <row r="81" spans="1:16" x14ac:dyDescent="0.2">
      <c r="A81" t="s">
        <v>177</v>
      </c>
      <c r="B81">
        <v>1226.73</v>
      </c>
      <c r="C81">
        <v>640</v>
      </c>
      <c r="D81">
        <v>640</v>
      </c>
      <c r="E81">
        <v>640</v>
      </c>
      <c r="F81">
        <v>640</v>
      </c>
      <c r="G81">
        <v>2.5941000000000001</v>
      </c>
      <c r="H81">
        <v>72.25</v>
      </c>
      <c r="I81">
        <v>72.25</v>
      </c>
      <c r="J81">
        <v>2.8912499999999999</v>
      </c>
      <c r="K81">
        <v>12.578397212543599</v>
      </c>
      <c r="L81">
        <v>12.578397212543599</v>
      </c>
      <c r="M81">
        <v>3</v>
      </c>
      <c r="N81">
        <v>12.578397212543599</v>
      </c>
      <c r="O81">
        <v>12.578397212543599</v>
      </c>
      <c r="P81">
        <v>0</v>
      </c>
    </row>
    <row r="82" spans="1:16" x14ac:dyDescent="0.2">
      <c r="A82" t="s">
        <v>178</v>
      </c>
      <c r="B82">
        <v>1223</v>
      </c>
      <c r="C82">
        <v>560</v>
      </c>
      <c r="D82">
        <v>720</v>
      </c>
      <c r="E82">
        <v>560</v>
      </c>
      <c r="F82">
        <v>720</v>
      </c>
      <c r="G82">
        <v>2.5941000000000001</v>
      </c>
      <c r="H82">
        <v>97.27</v>
      </c>
      <c r="I82">
        <v>51.42</v>
      </c>
      <c r="J82">
        <v>2.98</v>
      </c>
      <c r="K82">
        <v>15.68</v>
      </c>
      <c r="L82">
        <v>9.9</v>
      </c>
      <c r="M82">
        <v>3</v>
      </c>
      <c r="N82">
        <v>15.68</v>
      </c>
      <c r="O82">
        <v>9.9</v>
      </c>
      <c r="P82">
        <v>0</v>
      </c>
    </row>
    <row r="83" spans="1:16" x14ac:dyDescent="0.2">
      <c r="A83" t="s">
        <v>193</v>
      </c>
      <c r="B83">
        <v>78300</v>
      </c>
      <c r="C83">
        <v>65250</v>
      </c>
      <c r="D83">
        <v>65250</v>
      </c>
      <c r="E83">
        <v>52200</v>
      </c>
      <c r="F83">
        <v>52200</v>
      </c>
      <c r="G83">
        <v>36437.82</v>
      </c>
      <c r="H83">
        <v>47567.25</v>
      </c>
      <c r="I83">
        <v>233399.25</v>
      </c>
      <c r="J83">
        <v>2743.3046993734401</v>
      </c>
      <c r="K83">
        <v>3523.5</v>
      </c>
      <c r="L83">
        <v>9724.9699999999993</v>
      </c>
      <c r="M83">
        <v>1</v>
      </c>
      <c r="N83">
        <v>3523.5</v>
      </c>
      <c r="O83">
        <v>9724.9699999999993</v>
      </c>
      <c r="P83">
        <v>0</v>
      </c>
    </row>
    <row r="84" spans="1:16" x14ac:dyDescent="0.2">
      <c r="A84" t="s">
        <v>228</v>
      </c>
      <c r="B84">
        <v>600</v>
      </c>
      <c r="C84">
        <v>500</v>
      </c>
      <c r="D84">
        <v>500</v>
      </c>
      <c r="E84">
        <v>400</v>
      </c>
      <c r="F84">
        <v>400</v>
      </c>
      <c r="G84">
        <v>0.49</v>
      </c>
      <c r="H84">
        <v>72</v>
      </c>
      <c r="I84">
        <v>0.12</v>
      </c>
      <c r="J84">
        <v>0.97</v>
      </c>
      <c r="K84">
        <v>12</v>
      </c>
      <c r="L84">
        <v>0.5</v>
      </c>
      <c r="M84">
        <v>1</v>
      </c>
      <c r="N84">
        <v>18</v>
      </c>
      <c r="O84">
        <v>0.75</v>
      </c>
      <c r="P84">
        <v>0</v>
      </c>
    </row>
    <row r="85" spans="1:16" x14ac:dyDescent="0.2">
      <c r="A85" t="s">
        <v>246</v>
      </c>
      <c r="B85">
        <v>400</v>
      </c>
      <c r="C85">
        <v>333.33</v>
      </c>
      <c r="D85">
        <v>333.33</v>
      </c>
      <c r="E85">
        <v>266.67</v>
      </c>
      <c r="F85">
        <v>266.67</v>
      </c>
      <c r="G85">
        <v>0.77</v>
      </c>
      <c r="H85">
        <v>8.33</v>
      </c>
      <c r="I85">
        <v>0.21</v>
      </c>
      <c r="J85">
        <v>0.96</v>
      </c>
      <c r="K85">
        <v>3.33</v>
      </c>
      <c r="L85">
        <v>0.53</v>
      </c>
      <c r="M85">
        <v>1</v>
      </c>
      <c r="N85">
        <v>5</v>
      </c>
      <c r="O85">
        <v>0.8</v>
      </c>
      <c r="P85">
        <v>0</v>
      </c>
    </row>
    <row r="86" spans="1:16" x14ac:dyDescent="0.2">
      <c r="A86" t="s">
        <v>231</v>
      </c>
      <c r="B86">
        <v>500</v>
      </c>
      <c r="C86">
        <v>416.67</v>
      </c>
      <c r="D86">
        <v>416.67</v>
      </c>
      <c r="E86">
        <v>333.33</v>
      </c>
      <c r="F86">
        <v>333.33</v>
      </c>
      <c r="G86">
        <v>1.46</v>
      </c>
      <c r="H86">
        <v>10.42</v>
      </c>
      <c r="I86">
        <v>0.42</v>
      </c>
      <c r="J86">
        <v>1.46</v>
      </c>
      <c r="K86">
        <v>4.17</v>
      </c>
      <c r="L86">
        <v>0.83</v>
      </c>
      <c r="M86">
        <v>1</v>
      </c>
      <c r="N86">
        <v>6.25</v>
      </c>
      <c r="O86">
        <v>1.25</v>
      </c>
      <c r="P86">
        <v>0</v>
      </c>
    </row>
    <row r="87" spans="1:16" x14ac:dyDescent="0.2">
      <c r="A87" t="s">
        <v>232</v>
      </c>
      <c r="B87">
        <v>600</v>
      </c>
      <c r="C87">
        <v>500</v>
      </c>
      <c r="D87">
        <v>500</v>
      </c>
      <c r="E87">
        <v>400</v>
      </c>
      <c r="F87">
        <v>400</v>
      </c>
      <c r="G87">
        <v>1.79</v>
      </c>
      <c r="H87">
        <v>18</v>
      </c>
      <c r="I87">
        <v>0.5</v>
      </c>
      <c r="J87">
        <v>1.79</v>
      </c>
      <c r="K87">
        <v>6</v>
      </c>
      <c r="L87">
        <v>1</v>
      </c>
      <c r="M87">
        <v>1</v>
      </c>
      <c r="N87">
        <v>9</v>
      </c>
      <c r="O87">
        <v>1.5</v>
      </c>
      <c r="P87">
        <v>0</v>
      </c>
    </row>
    <row r="88" spans="1:16" x14ac:dyDescent="0.2">
      <c r="A88" t="s">
        <v>233</v>
      </c>
      <c r="B88">
        <v>720</v>
      </c>
      <c r="C88">
        <v>600</v>
      </c>
      <c r="D88">
        <v>600</v>
      </c>
      <c r="E88">
        <v>480</v>
      </c>
      <c r="F88">
        <v>480</v>
      </c>
      <c r="G88">
        <v>3.02</v>
      </c>
      <c r="H88">
        <v>21.6</v>
      </c>
      <c r="I88">
        <v>0.86</v>
      </c>
      <c r="J88">
        <v>2.52</v>
      </c>
      <c r="K88">
        <v>7.2</v>
      </c>
      <c r="L88">
        <v>1.44</v>
      </c>
      <c r="M88">
        <v>1</v>
      </c>
      <c r="N88">
        <v>10.8</v>
      </c>
      <c r="O88">
        <v>2.16</v>
      </c>
      <c r="P88">
        <v>0</v>
      </c>
    </row>
    <row r="89" spans="1:16" x14ac:dyDescent="0.2">
      <c r="A89" t="s">
        <v>247</v>
      </c>
      <c r="B89">
        <v>6600</v>
      </c>
      <c r="C89">
        <v>2000</v>
      </c>
      <c r="D89">
        <v>5000</v>
      </c>
      <c r="E89">
        <v>1666.67</v>
      </c>
      <c r="F89">
        <v>4166.67</v>
      </c>
      <c r="G89">
        <v>2827.64</v>
      </c>
      <c r="H89">
        <v>4909.5</v>
      </c>
      <c r="I89">
        <v>1102</v>
      </c>
      <c r="J89">
        <v>432</v>
      </c>
      <c r="K89">
        <v>392.76</v>
      </c>
      <c r="L89">
        <v>220.4</v>
      </c>
      <c r="M89">
        <v>1</v>
      </c>
      <c r="N89">
        <v>504.5</v>
      </c>
      <c r="O89">
        <v>257</v>
      </c>
      <c r="P89">
        <v>0</v>
      </c>
    </row>
    <row r="90" spans="1:16" x14ac:dyDescent="0.2">
      <c r="A90" t="s">
        <v>238</v>
      </c>
      <c r="B90">
        <v>3400</v>
      </c>
      <c r="C90">
        <v>1000</v>
      </c>
      <c r="D90">
        <v>2500</v>
      </c>
      <c r="E90">
        <v>833.33</v>
      </c>
      <c r="F90">
        <v>2083.33</v>
      </c>
      <c r="G90">
        <v>1593.31</v>
      </c>
      <c r="H90">
        <v>2652.83</v>
      </c>
      <c r="I90">
        <v>625.33000000000004</v>
      </c>
      <c r="J90">
        <v>232.75</v>
      </c>
      <c r="K90">
        <v>212.23</v>
      </c>
      <c r="L90">
        <v>125.07</v>
      </c>
      <c r="M90">
        <v>1</v>
      </c>
      <c r="N90">
        <v>266.5</v>
      </c>
      <c r="O90">
        <v>139</v>
      </c>
      <c r="P90">
        <v>0</v>
      </c>
    </row>
    <row r="91" spans="1:16" x14ac:dyDescent="0.2">
      <c r="A91" t="s">
        <v>239</v>
      </c>
      <c r="B91">
        <v>3900</v>
      </c>
      <c r="C91">
        <v>1500</v>
      </c>
      <c r="D91">
        <v>2500</v>
      </c>
      <c r="E91">
        <v>1250</v>
      </c>
      <c r="F91">
        <v>2083.33</v>
      </c>
      <c r="G91">
        <v>3235.96</v>
      </c>
      <c r="H91">
        <v>3403.25</v>
      </c>
      <c r="I91">
        <v>1543.25</v>
      </c>
      <c r="J91">
        <v>355.25</v>
      </c>
      <c r="K91">
        <v>272.26</v>
      </c>
      <c r="L91">
        <v>205.77</v>
      </c>
      <c r="M91">
        <v>1</v>
      </c>
      <c r="N91">
        <v>327.75</v>
      </c>
      <c r="O91">
        <v>230.25</v>
      </c>
      <c r="P91">
        <v>0</v>
      </c>
    </row>
    <row r="92" spans="1:16" x14ac:dyDescent="0.2">
      <c r="A92" t="s">
        <v>237</v>
      </c>
      <c r="B92">
        <v>3900</v>
      </c>
      <c r="C92">
        <v>1000</v>
      </c>
      <c r="D92">
        <v>3000</v>
      </c>
      <c r="E92">
        <v>833.33</v>
      </c>
      <c r="F92">
        <v>2500</v>
      </c>
      <c r="G92">
        <v>2013.85</v>
      </c>
      <c r="H92">
        <v>4208.25</v>
      </c>
      <c r="I92">
        <v>738.25</v>
      </c>
      <c r="J92">
        <v>280.25</v>
      </c>
      <c r="K92">
        <v>280.55</v>
      </c>
      <c r="L92">
        <v>147.65</v>
      </c>
      <c r="M92">
        <v>1</v>
      </c>
      <c r="N92">
        <v>357.75</v>
      </c>
      <c r="O92">
        <v>162.75</v>
      </c>
      <c r="P92">
        <v>0</v>
      </c>
    </row>
    <row r="93" spans="1:16" x14ac:dyDescent="0.2">
      <c r="A93" t="s">
        <v>240</v>
      </c>
      <c r="B93">
        <v>4400</v>
      </c>
      <c r="C93">
        <v>1500</v>
      </c>
      <c r="D93">
        <v>3000</v>
      </c>
      <c r="E93">
        <v>1250</v>
      </c>
      <c r="F93">
        <v>2500</v>
      </c>
      <c r="G93">
        <v>4158.41</v>
      </c>
      <c r="H93">
        <v>5296.17</v>
      </c>
      <c r="I93">
        <v>1806.17</v>
      </c>
      <c r="J93">
        <v>427.75</v>
      </c>
      <c r="K93">
        <v>353.08</v>
      </c>
      <c r="L93">
        <v>240.82</v>
      </c>
      <c r="M93">
        <v>1</v>
      </c>
      <c r="N93">
        <v>431.5</v>
      </c>
      <c r="O93">
        <v>266.5</v>
      </c>
      <c r="P93">
        <v>0</v>
      </c>
    </row>
    <row r="94" spans="1:16" x14ac:dyDescent="0.2">
      <c r="A94" t="s">
        <v>260</v>
      </c>
      <c r="B94">
        <v>1070</v>
      </c>
      <c r="C94">
        <v>400</v>
      </c>
      <c r="D94">
        <v>800</v>
      </c>
      <c r="E94">
        <v>333.33333333333297</v>
      </c>
      <c r="F94">
        <v>666.66666666666697</v>
      </c>
      <c r="G94">
        <v>65.099999999999994</v>
      </c>
      <c r="H94">
        <v>80.099999999999994</v>
      </c>
      <c r="I94">
        <v>25.6</v>
      </c>
      <c r="J94">
        <v>26.25</v>
      </c>
      <c r="K94">
        <v>20</v>
      </c>
      <c r="L94">
        <v>12.8</v>
      </c>
      <c r="M94">
        <v>0</v>
      </c>
      <c r="N94">
        <v>0</v>
      </c>
      <c r="O94">
        <v>0</v>
      </c>
      <c r="P94">
        <v>0</v>
      </c>
    </row>
    <row r="95" spans="1:16" x14ac:dyDescent="0.2">
      <c r="A95" t="s">
        <v>259</v>
      </c>
      <c r="B95">
        <v>1370</v>
      </c>
      <c r="C95">
        <v>500</v>
      </c>
      <c r="D95">
        <v>1000</v>
      </c>
      <c r="E95">
        <v>416.66666666666703</v>
      </c>
      <c r="F95">
        <v>833.33333333333303</v>
      </c>
      <c r="G95">
        <v>135</v>
      </c>
      <c r="H95">
        <v>166</v>
      </c>
      <c r="I95">
        <v>54.2</v>
      </c>
      <c r="J95">
        <v>36.9</v>
      </c>
      <c r="K95">
        <v>33.299999999999997</v>
      </c>
      <c r="L95">
        <v>21.7</v>
      </c>
      <c r="M95">
        <v>0</v>
      </c>
      <c r="N95">
        <v>0</v>
      </c>
      <c r="O95">
        <v>0</v>
      </c>
      <c r="P95">
        <v>0</v>
      </c>
    </row>
    <row r="96" spans="1:16" x14ac:dyDescent="0.2">
      <c r="A96" t="s">
        <v>257</v>
      </c>
      <c r="B96">
        <v>4490</v>
      </c>
      <c r="C96">
        <v>2000</v>
      </c>
      <c r="D96">
        <v>3000</v>
      </c>
      <c r="E96">
        <v>1666.6666666666699</v>
      </c>
      <c r="F96">
        <v>2500</v>
      </c>
      <c r="G96">
        <v>1432</v>
      </c>
      <c r="H96">
        <v>1279</v>
      </c>
      <c r="I96">
        <v>663</v>
      </c>
      <c r="J96">
        <v>214</v>
      </c>
      <c r="K96">
        <v>171</v>
      </c>
      <c r="L96">
        <v>133</v>
      </c>
      <c r="M96">
        <v>0</v>
      </c>
      <c r="N96">
        <v>0</v>
      </c>
      <c r="O96">
        <v>0</v>
      </c>
      <c r="P96">
        <v>0</v>
      </c>
    </row>
    <row r="97" spans="1:16" x14ac:dyDescent="0.2">
      <c r="A97" t="s">
        <v>258</v>
      </c>
      <c r="B97">
        <v>5270</v>
      </c>
      <c r="C97">
        <v>2400</v>
      </c>
      <c r="D97">
        <v>3600</v>
      </c>
      <c r="E97">
        <v>2000</v>
      </c>
      <c r="F97">
        <v>3000</v>
      </c>
      <c r="G97">
        <v>1633</v>
      </c>
      <c r="H97">
        <v>1445</v>
      </c>
      <c r="I97">
        <v>742</v>
      </c>
      <c r="J97">
        <v>240</v>
      </c>
      <c r="K97">
        <v>193</v>
      </c>
      <c r="L97">
        <v>148</v>
      </c>
      <c r="M97">
        <v>0</v>
      </c>
      <c r="N97">
        <v>0</v>
      </c>
      <c r="O97">
        <v>0</v>
      </c>
      <c r="P97">
        <v>0</v>
      </c>
    </row>
    <row r="98" spans="1:16" x14ac:dyDescent="0.2">
      <c r="A98" t="s">
        <v>261</v>
      </c>
      <c r="B98">
        <v>20000</v>
      </c>
      <c r="C98">
        <v>16666.669999999998</v>
      </c>
      <c r="D98">
        <v>16666.669999999998</v>
      </c>
      <c r="E98">
        <v>13333.33</v>
      </c>
      <c r="F98">
        <v>13333.33</v>
      </c>
      <c r="G98">
        <v>4577.6000000000004</v>
      </c>
      <c r="H98">
        <v>6666.67</v>
      </c>
      <c r="I98">
        <v>1666.67</v>
      </c>
      <c r="J98">
        <v>490.93</v>
      </c>
      <c r="K98">
        <v>666.67</v>
      </c>
      <c r="L98">
        <v>333.33</v>
      </c>
      <c r="M98">
        <v>1</v>
      </c>
      <c r="N98">
        <v>1000</v>
      </c>
      <c r="O98">
        <v>500</v>
      </c>
      <c r="P98">
        <v>0</v>
      </c>
    </row>
    <row r="99" spans="1:16" x14ac:dyDescent="0.2">
      <c r="A99" t="s">
        <v>255</v>
      </c>
      <c r="B99">
        <v>5490</v>
      </c>
      <c r="C99">
        <v>2000</v>
      </c>
      <c r="D99">
        <v>4000</v>
      </c>
      <c r="E99">
        <v>1666.6666666666699</v>
      </c>
      <c r="F99">
        <v>3333.3333333333298</v>
      </c>
      <c r="G99">
        <v>2156</v>
      </c>
      <c r="H99">
        <v>2660</v>
      </c>
      <c r="I99">
        <v>867</v>
      </c>
      <c r="J99">
        <v>295</v>
      </c>
      <c r="K99">
        <v>266</v>
      </c>
      <c r="L99">
        <v>173</v>
      </c>
      <c r="M99">
        <v>0</v>
      </c>
      <c r="N99">
        <v>0</v>
      </c>
      <c r="O99">
        <v>0</v>
      </c>
      <c r="P99">
        <v>0</v>
      </c>
    </row>
    <row r="100" spans="1:16" x14ac:dyDescent="0.2">
      <c r="A100" t="s">
        <v>236</v>
      </c>
      <c r="B100">
        <v>2400</v>
      </c>
      <c r="C100">
        <v>1000</v>
      </c>
      <c r="D100">
        <v>1500</v>
      </c>
      <c r="E100">
        <v>833.33</v>
      </c>
      <c r="F100">
        <v>1250</v>
      </c>
      <c r="G100">
        <v>790.63</v>
      </c>
      <c r="H100">
        <v>754.5</v>
      </c>
      <c r="I100">
        <v>399.5</v>
      </c>
      <c r="J100">
        <v>137.75</v>
      </c>
      <c r="K100">
        <v>100.6</v>
      </c>
      <c r="L100">
        <v>79.900000000000006</v>
      </c>
      <c r="M100">
        <v>1</v>
      </c>
      <c r="N100">
        <v>121.5</v>
      </c>
      <c r="O100">
        <v>91.5</v>
      </c>
      <c r="P100">
        <v>0</v>
      </c>
    </row>
    <row r="101" spans="1:16" x14ac:dyDescent="0.2">
      <c r="A101" t="s">
        <v>235</v>
      </c>
      <c r="B101">
        <v>2900</v>
      </c>
      <c r="C101">
        <v>1000</v>
      </c>
      <c r="D101">
        <v>2000</v>
      </c>
      <c r="E101">
        <v>833.33</v>
      </c>
      <c r="F101">
        <v>1666.67</v>
      </c>
      <c r="G101">
        <v>1183.3599999999999</v>
      </c>
      <c r="H101">
        <v>1522.42</v>
      </c>
      <c r="I101">
        <v>512.41999999999996</v>
      </c>
      <c r="J101">
        <v>185.25</v>
      </c>
      <c r="K101">
        <v>152.24</v>
      </c>
      <c r="L101">
        <v>102.48</v>
      </c>
      <c r="M101">
        <v>1</v>
      </c>
      <c r="N101">
        <v>187.75</v>
      </c>
      <c r="O101">
        <v>115.25</v>
      </c>
      <c r="P101">
        <v>0</v>
      </c>
    </row>
    <row r="102" spans="1:16" x14ac:dyDescent="0.2">
      <c r="A102" t="s">
        <v>267</v>
      </c>
      <c r="B102">
        <v>5490</v>
      </c>
      <c r="C102">
        <v>2000</v>
      </c>
      <c r="D102">
        <v>4000</v>
      </c>
      <c r="E102">
        <v>1666.6666666666699</v>
      </c>
      <c r="F102">
        <v>3333.3333333333298</v>
      </c>
      <c r="G102">
        <v>2156</v>
      </c>
      <c r="H102">
        <v>2660</v>
      </c>
      <c r="I102">
        <v>867</v>
      </c>
      <c r="J102">
        <v>295</v>
      </c>
      <c r="K102">
        <v>266</v>
      </c>
      <c r="L102">
        <v>173</v>
      </c>
      <c r="M102">
        <v>1</v>
      </c>
      <c r="N102">
        <v>341</v>
      </c>
      <c r="O102">
        <v>206</v>
      </c>
      <c r="P102">
        <v>0</v>
      </c>
    </row>
    <row r="103" spans="1:16" x14ac:dyDescent="0.2">
      <c r="A103" t="s">
        <v>209</v>
      </c>
      <c r="B103">
        <v>50000000</v>
      </c>
      <c r="C103">
        <v>50000000</v>
      </c>
      <c r="D103">
        <v>50000000</v>
      </c>
      <c r="E103">
        <v>50000000</v>
      </c>
      <c r="F103">
        <v>50000000</v>
      </c>
      <c r="G103">
        <v>500000000</v>
      </c>
      <c r="H103">
        <v>500000000</v>
      </c>
      <c r="I103">
        <v>500000000</v>
      </c>
      <c r="J103">
        <v>50000000</v>
      </c>
      <c r="K103">
        <v>50000000</v>
      </c>
      <c r="L103">
        <v>50000000</v>
      </c>
      <c r="M103">
        <v>1</v>
      </c>
      <c r="N103">
        <v>50000000</v>
      </c>
      <c r="O103">
        <v>50000000</v>
      </c>
      <c r="P103">
        <v>50000000</v>
      </c>
    </row>
    <row r="104" spans="1:16" x14ac:dyDescent="0.2">
      <c r="A104" t="s">
        <v>221</v>
      </c>
      <c r="B104">
        <v>113.1</v>
      </c>
      <c r="C104">
        <v>56.55</v>
      </c>
      <c r="D104">
        <v>56.55</v>
      </c>
      <c r="E104">
        <v>56.55</v>
      </c>
      <c r="F104">
        <v>56.55</v>
      </c>
      <c r="G104">
        <v>0.93</v>
      </c>
      <c r="H104">
        <v>0.46</v>
      </c>
      <c r="I104">
        <v>0.46</v>
      </c>
      <c r="J104">
        <v>0.93</v>
      </c>
      <c r="K104">
        <v>0.46</v>
      </c>
      <c r="L104">
        <v>0.46</v>
      </c>
      <c r="M104">
        <v>1</v>
      </c>
      <c r="N104">
        <v>0.46</v>
      </c>
      <c r="O104">
        <v>0.46</v>
      </c>
      <c r="P104">
        <v>0</v>
      </c>
    </row>
    <row r="105" spans="1:16" x14ac:dyDescent="0.2">
      <c r="A105" t="s">
        <v>254</v>
      </c>
      <c r="B105">
        <v>5490</v>
      </c>
      <c r="C105">
        <v>3000</v>
      </c>
      <c r="D105">
        <v>3000</v>
      </c>
      <c r="E105">
        <v>2500</v>
      </c>
      <c r="F105">
        <v>2500</v>
      </c>
      <c r="G105">
        <v>2832</v>
      </c>
      <c r="H105">
        <v>1770</v>
      </c>
      <c r="I105">
        <v>1770</v>
      </c>
      <c r="J105">
        <v>344</v>
      </c>
      <c r="K105">
        <v>236</v>
      </c>
      <c r="L105">
        <v>236</v>
      </c>
      <c r="M105">
        <v>0</v>
      </c>
      <c r="N105">
        <v>0</v>
      </c>
      <c r="O105">
        <v>0</v>
      </c>
      <c r="P105">
        <v>0</v>
      </c>
    </row>
    <row r="106" spans="1:16" x14ac:dyDescent="0.2">
      <c r="A106" t="s">
        <v>241</v>
      </c>
      <c r="B106">
        <v>2900</v>
      </c>
      <c r="C106">
        <v>1500</v>
      </c>
      <c r="D106">
        <v>1500</v>
      </c>
      <c r="E106">
        <v>1250</v>
      </c>
      <c r="F106">
        <v>1250</v>
      </c>
      <c r="G106">
        <v>1524.31</v>
      </c>
      <c r="H106">
        <v>1017.42</v>
      </c>
      <c r="I106">
        <v>1017.42</v>
      </c>
      <c r="J106">
        <v>210.25</v>
      </c>
      <c r="K106">
        <v>135.66</v>
      </c>
      <c r="L106">
        <v>135.66</v>
      </c>
      <c r="M106">
        <v>1</v>
      </c>
      <c r="N106">
        <v>157.75</v>
      </c>
      <c r="O106">
        <v>157.75</v>
      </c>
      <c r="P106">
        <v>0</v>
      </c>
    </row>
    <row r="107" spans="1:16" x14ac:dyDescent="0.2">
      <c r="A107" t="s">
        <v>256</v>
      </c>
      <c r="B107">
        <v>7490</v>
      </c>
      <c r="C107">
        <v>4000</v>
      </c>
      <c r="D107">
        <v>4000</v>
      </c>
      <c r="E107">
        <v>3333.3333333333298</v>
      </c>
      <c r="F107">
        <v>3333.3333333333298</v>
      </c>
      <c r="G107">
        <v>7031</v>
      </c>
      <c r="H107">
        <v>4467</v>
      </c>
      <c r="I107">
        <v>4467</v>
      </c>
      <c r="J107">
        <v>655</v>
      </c>
      <c r="K107">
        <v>447</v>
      </c>
      <c r="L107">
        <v>447</v>
      </c>
      <c r="M107">
        <v>0</v>
      </c>
      <c r="N107">
        <v>0</v>
      </c>
      <c r="O107">
        <v>0</v>
      </c>
      <c r="P107">
        <v>0</v>
      </c>
    </row>
    <row r="108" spans="1:16" x14ac:dyDescent="0.2">
      <c r="A108" t="s">
        <v>187</v>
      </c>
      <c r="B108">
        <v>879</v>
      </c>
      <c r="C108">
        <v>480</v>
      </c>
      <c r="D108">
        <v>480</v>
      </c>
      <c r="E108">
        <v>400</v>
      </c>
      <c r="F108">
        <v>400</v>
      </c>
      <c r="G108">
        <v>72.5</v>
      </c>
      <c r="H108">
        <v>45.3</v>
      </c>
      <c r="I108">
        <v>45.3</v>
      </c>
      <c r="J108">
        <v>22</v>
      </c>
      <c r="K108">
        <v>15.1</v>
      </c>
      <c r="L108">
        <v>15.1</v>
      </c>
      <c r="M108">
        <v>1</v>
      </c>
      <c r="N108">
        <v>18.3</v>
      </c>
      <c r="O108">
        <v>18.3</v>
      </c>
      <c r="P108">
        <v>0</v>
      </c>
    </row>
    <row r="109" spans="1:16" x14ac:dyDescent="0.2">
      <c r="A109" t="s">
        <v>225</v>
      </c>
      <c r="B109">
        <v>1164</v>
      </c>
      <c r="C109">
        <v>600</v>
      </c>
      <c r="D109">
        <v>600</v>
      </c>
      <c r="E109">
        <v>500</v>
      </c>
      <c r="F109">
        <v>500</v>
      </c>
      <c r="G109">
        <v>273.8</v>
      </c>
      <c r="H109">
        <v>182.71</v>
      </c>
      <c r="I109">
        <v>182.71</v>
      </c>
      <c r="J109">
        <v>56.45</v>
      </c>
      <c r="K109">
        <v>36.54</v>
      </c>
      <c r="L109">
        <v>36.54</v>
      </c>
      <c r="M109">
        <v>1</v>
      </c>
      <c r="N109">
        <v>42.35</v>
      </c>
      <c r="O109">
        <v>42.35</v>
      </c>
      <c r="P109">
        <v>0</v>
      </c>
    </row>
    <row r="110" spans="1:16" x14ac:dyDescent="0.2">
      <c r="A110" t="s">
        <v>224</v>
      </c>
      <c r="B110">
        <v>1536</v>
      </c>
      <c r="C110">
        <v>800</v>
      </c>
      <c r="D110">
        <v>800</v>
      </c>
      <c r="E110">
        <v>666.67</v>
      </c>
      <c r="F110">
        <v>666.67</v>
      </c>
      <c r="G110">
        <v>353.89</v>
      </c>
      <c r="H110">
        <v>236.34</v>
      </c>
      <c r="I110">
        <v>236.34</v>
      </c>
      <c r="J110">
        <v>73.73</v>
      </c>
      <c r="K110">
        <v>47.27</v>
      </c>
      <c r="L110">
        <v>47.27</v>
      </c>
      <c r="M110">
        <v>1</v>
      </c>
      <c r="N110">
        <v>55.33</v>
      </c>
      <c r="O110">
        <v>55.33</v>
      </c>
      <c r="P110">
        <v>0</v>
      </c>
    </row>
    <row r="111" spans="1:16" x14ac:dyDescent="0.2">
      <c r="A111" t="s">
        <v>198</v>
      </c>
      <c r="B111">
        <v>1870</v>
      </c>
      <c r="C111">
        <v>839.1</v>
      </c>
      <c r="D111">
        <v>839.1</v>
      </c>
      <c r="E111">
        <v>834.8</v>
      </c>
      <c r="F111">
        <v>834.8</v>
      </c>
      <c r="G111">
        <v>439</v>
      </c>
      <c r="H111">
        <v>279</v>
      </c>
      <c r="I111">
        <v>279</v>
      </c>
      <c r="J111">
        <v>81.8</v>
      </c>
      <c r="K111">
        <v>55.8</v>
      </c>
      <c r="L111">
        <v>55.8</v>
      </c>
      <c r="M111">
        <v>1</v>
      </c>
      <c r="N111">
        <v>66.3</v>
      </c>
      <c r="O111">
        <v>66.3</v>
      </c>
      <c r="P111">
        <v>0</v>
      </c>
    </row>
    <row r="112" spans="1:16" x14ac:dyDescent="0.2">
      <c r="A112" t="s">
        <v>251</v>
      </c>
      <c r="B112">
        <v>2880</v>
      </c>
      <c r="C112">
        <v>1600</v>
      </c>
      <c r="D112">
        <v>1600</v>
      </c>
      <c r="E112">
        <v>1333.3333333333301</v>
      </c>
      <c r="F112">
        <v>1333.3333333333301</v>
      </c>
      <c r="G112">
        <v>646</v>
      </c>
      <c r="H112">
        <v>399</v>
      </c>
      <c r="I112">
        <v>399</v>
      </c>
      <c r="J112">
        <v>116</v>
      </c>
      <c r="K112">
        <v>79.7</v>
      </c>
      <c r="L112">
        <v>79.7</v>
      </c>
      <c r="M112">
        <v>1</v>
      </c>
      <c r="N112">
        <v>98.1</v>
      </c>
      <c r="O112">
        <v>98.1</v>
      </c>
      <c r="P112">
        <v>0</v>
      </c>
    </row>
    <row r="113" spans="1:16" x14ac:dyDescent="0.2">
      <c r="A113" t="s">
        <v>252</v>
      </c>
      <c r="B113">
        <v>4290</v>
      </c>
      <c r="C113">
        <v>2400</v>
      </c>
      <c r="D113">
        <v>2400</v>
      </c>
      <c r="E113">
        <v>2000</v>
      </c>
      <c r="F113">
        <v>2000</v>
      </c>
      <c r="G113">
        <v>1382</v>
      </c>
      <c r="H113">
        <v>850</v>
      </c>
      <c r="I113">
        <v>850</v>
      </c>
      <c r="J113">
        <v>206</v>
      </c>
      <c r="K113">
        <v>142</v>
      </c>
      <c r="L113">
        <v>142</v>
      </c>
      <c r="M113">
        <v>1</v>
      </c>
      <c r="N113">
        <v>175</v>
      </c>
      <c r="O113">
        <v>175</v>
      </c>
      <c r="P113">
        <v>0</v>
      </c>
    </row>
    <row r="114" spans="1:16" x14ac:dyDescent="0.2">
      <c r="A114" t="s">
        <v>185</v>
      </c>
      <c r="B114">
        <v>2270</v>
      </c>
      <c r="C114">
        <v>1200</v>
      </c>
      <c r="D114">
        <v>1200</v>
      </c>
      <c r="E114">
        <v>1000</v>
      </c>
      <c r="F114">
        <v>1000</v>
      </c>
      <c r="G114">
        <v>777</v>
      </c>
      <c r="H114">
        <v>497</v>
      </c>
      <c r="I114">
        <v>497</v>
      </c>
      <c r="J114">
        <v>122</v>
      </c>
      <c r="K114">
        <v>82.9</v>
      </c>
      <c r="L114">
        <v>82.9</v>
      </c>
      <c r="M114">
        <v>1</v>
      </c>
      <c r="N114">
        <v>97.6</v>
      </c>
      <c r="O114">
        <v>97.6</v>
      </c>
      <c r="P114">
        <v>0</v>
      </c>
    </row>
    <row r="115" spans="1:16" x14ac:dyDescent="0.2">
      <c r="A115" t="s">
        <v>242</v>
      </c>
      <c r="B115">
        <v>2900</v>
      </c>
      <c r="C115">
        <v>1500</v>
      </c>
      <c r="D115">
        <v>1500</v>
      </c>
      <c r="E115">
        <v>1250</v>
      </c>
      <c r="F115">
        <v>1250</v>
      </c>
      <c r="G115">
        <v>1524.31</v>
      </c>
      <c r="H115">
        <v>1017.42</v>
      </c>
      <c r="I115">
        <v>1017.42</v>
      </c>
      <c r="J115">
        <v>210.25</v>
      </c>
      <c r="K115">
        <v>135.66</v>
      </c>
      <c r="L115">
        <v>135.66</v>
      </c>
      <c r="M115">
        <v>1</v>
      </c>
      <c r="N115">
        <v>157.75</v>
      </c>
      <c r="O115">
        <v>157.75</v>
      </c>
      <c r="P115">
        <v>0</v>
      </c>
    </row>
    <row r="116" spans="1:16" x14ac:dyDescent="0.2">
      <c r="A116" t="s">
        <v>188</v>
      </c>
      <c r="B116">
        <v>3830</v>
      </c>
      <c r="C116">
        <v>2016</v>
      </c>
      <c r="D116">
        <v>2016</v>
      </c>
      <c r="E116">
        <v>1680</v>
      </c>
      <c r="F116">
        <v>1680</v>
      </c>
      <c r="G116">
        <v>2333</v>
      </c>
      <c r="H116">
        <v>1498</v>
      </c>
      <c r="I116">
        <v>1498</v>
      </c>
      <c r="J116">
        <v>275</v>
      </c>
      <c r="K116">
        <v>187</v>
      </c>
      <c r="L116">
        <v>187</v>
      </c>
      <c r="M116">
        <v>1</v>
      </c>
      <c r="N116">
        <v>220</v>
      </c>
      <c r="O116">
        <v>220</v>
      </c>
      <c r="P116">
        <v>0</v>
      </c>
    </row>
    <row r="117" spans="1:16" x14ac:dyDescent="0.2">
      <c r="A117" t="s">
        <v>268</v>
      </c>
      <c r="B117">
        <v>7490</v>
      </c>
      <c r="C117">
        <v>4000</v>
      </c>
      <c r="D117">
        <v>4000</v>
      </c>
      <c r="E117">
        <v>3333.3333333333298</v>
      </c>
      <c r="F117">
        <v>3333.3333333333298</v>
      </c>
      <c r="G117">
        <v>7031</v>
      </c>
      <c r="H117">
        <v>4467</v>
      </c>
      <c r="I117">
        <v>4467</v>
      </c>
      <c r="J117">
        <v>655</v>
      </c>
      <c r="K117">
        <v>447</v>
      </c>
      <c r="L117">
        <v>447</v>
      </c>
      <c r="M117">
        <v>1</v>
      </c>
      <c r="N117">
        <v>531</v>
      </c>
      <c r="O117">
        <v>531</v>
      </c>
      <c r="P117">
        <v>0</v>
      </c>
    </row>
    <row r="118" spans="1:16" x14ac:dyDescent="0.2">
      <c r="A118" t="s">
        <v>234</v>
      </c>
      <c r="B118">
        <v>684</v>
      </c>
      <c r="C118">
        <v>360</v>
      </c>
      <c r="D118">
        <v>360</v>
      </c>
      <c r="E118">
        <v>300</v>
      </c>
      <c r="F118">
        <v>300</v>
      </c>
      <c r="G118">
        <v>55.56</v>
      </c>
      <c r="H118">
        <v>37.14</v>
      </c>
      <c r="I118">
        <v>37.14</v>
      </c>
      <c r="J118">
        <v>19.489999999999998</v>
      </c>
      <c r="K118">
        <v>12.38</v>
      </c>
      <c r="L118">
        <v>12.38</v>
      </c>
      <c r="M118">
        <v>1</v>
      </c>
      <c r="N118">
        <v>14.63</v>
      </c>
      <c r="O118">
        <v>14.63</v>
      </c>
      <c r="P118">
        <v>0</v>
      </c>
    </row>
    <row r="119" spans="1:16" x14ac:dyDescent="0.2">
      <c r="A119" t="s">
        <v>226</v>
      </c>
      <c r="B119">
        <v>924</v>
      </c>
      <c r="C119">
        <v>480</v>
      </c>
      <c r="D119">
        <v>480</v>
      </c>
      <c r="E119">
        <v>400</v>
      </c>
      <c r="F119">
        <v>400</v>
      </c>
      <c r="G119">
        <v>136.96</v>
      </c>
      <c r="H119">
        <v>91.45</v>
      </c>
      <c r="I119">
        <v>91.45</v>
      </c>
      <c r="J119">
        <v>35.57</v>
      </c>
      <c r="K119">
        <v>22.86</v>
      </c>
      <c r="L119">
        <v>22.86</v>
      </c>
      <c r="M119">
        <v>1</v>
      </c>
      <c r="N119">
        <v>26.69</v>
      </c>
      <c r="O119">
        <v>26.69</v>
      </c>
      <c r="P119">
        <v>0</v>
      </c>
    </row>
    <row r="120" spans="1:16" x14ac:dyDescent="0.2">
      <c r="A120" t="s">
        <v>227</v>
      </c>
      <c r="B120">
        <v>684</v>
      </c>
      <c r="C120">
        <v>240</v>
      </c>
      <c r="D120">
        <v>480</v>
      </c>
      <c r="E120">
        <v>200</v>
      </c>
      <c r="F120">
        <v>400</v>
      </c>
      <c r="G120">
        <v>42.72</v>
      </c>
      <c r="H120">
        <v>55.85</v>
      </c>
      <c r="I120">
        <v>18.43</v>
      </c>
      <c r="J120">
        <v>17.09</v>
      </c>
      <c r="K120">
        <v>13.96</v>
      </c>
      <c r="L120">
        <v>9.2200000000000006</v>
      </c>
      <c r="M120">
        <v>1</v>
      </c>
      <c r="N120">
        <v>17.45</v>
      </c>
      <c r="O120">
        <v>10.61</v>
      </c>
      <c r="P120">
        <v>0</v>
      </c>
    </row>
    <row r="121" spans="1:16" x14ac:dyDescent="0.2">
      <c r="A121" t="s">
        <v>245</v>
      </c>
      <c r="B121">
        <v>1216</v>
      </c>
      <c r="C121">
        <v>640</v>
      </c>
      <c r="D121">
        <v>640</v>
      </c>
      <c r="E121">
        <v>533.33000000000004</v>
      </c>
      <c r="F121">
        <v>533.33000000000004</v>
      </c>
      <c r="G121">
        <v>175.59</v>
      </c>
      <c r="H121">
        <v>117.38</v>
      </c>
      <c r="I121">
        <v>117.38</v>
      </c>
      <c r="J121">
        <v>46.21</v>
      </c>
      <c r="K121">
        <v>29.34</v>
      </c>
      <c r="L121">
        <v>29.34</v>
      </c>
      <c r="M121">
        <v>1</v>
      </c>
      <c r="N121">
        <v>34.69</v>
      </c>
      <c r="O121">
        <v>34.69</v>
      </c>
      <c r="P121">
        <v>0</v>
      </c>
    </row>
    <row r="122" spans="1:16" x14ac:dyDescent="0.2">
      <c r="A122" t="s">
        <v>264</v>
      </c>
      <c r="B122">
        <v>2168</v>
      </c>
      <c r="C122">
        <v>800</v>
      </c>
      <c r="D122">
        <v>1400</v>
      </c>
      <c r="E122">
        <v>666.67</v>
      </c>
      <c r="F122">
        <v>1166.67</v>
      </c>
      <c r="G122">
        <v>1.1599999999999999</v>
      </c>
      <c r="H122">
        <v>3727.82</v>
      </c>
      <c r="I122">
        <v>183.15</v>
      </c>
      <c r="J122">
        <v>2.89</v>
      </c>
      <c r="K122">
        <v>213.02</v>
      </c>
      <c r="L122">
        <v>22.81</v>
      </c>
      <c r="M122">
        <v>1</v>
      </c>
      <c r="N122">
        <v>255.36</v>
      </c>
      <c r="O122">
        <v>39.380000000000003</v>
      </c>
      <c r="P122">
        <v>39649.599999999999</v>
      </c>
    </row>
    <row r="123" spans="1:16" x14ac:dyDescent="0.2">
      <c r="A123" t="s">
        <v>222</v>
      </c>
      <c r="B123">
        <v>1632</v>
      </c>
      <c r="C123">
        <v>600</v>
      </c>
      <c r="D123">
        <v>1050</v>
      </c>
      <c r="E123">
        <v>500</v>
      </c>
      <c r="F123">
        <v>875</v>
      </c>
      <c r="G123">
        <v>0.49</v>
      </c>
      <c r="H123">
        <v>2823.87</v>
      </c>
      <c r="I123">
        <v>139.32</v>
      </c>
      <c r="J123">
        <v>1.63</v>
      </c>
      <c r="K123">
        <v>161.36000000000001</v>
      </c>
      <c r="L123">
        <v>17.27</v>
      </c>
      <c r="M123">
        <v>1</v>
      </c>
      <c r="N123">
        <v>192.85</v>
      </c>
      <c r="O123">
        <v>29.65</v>
      </c>
      <c r="P123">
        <v>30347.3</v>
      </c>
    </row>
    <row r="124" spans="1:16" x14ac:dyDescent="0.2">
      <c r="A124" t="s">
        <v>263</v>
      </c>
      <c r="B124">
        <v>2140</v>
      </c>
      <c r="C124">
        <v>800</v>
      </c>
      <c r="D124">
        <v>1400</v>
      </c>
      <c r="E124">
        <v>666.67</v>
      </c>
      <c r="F124">
        <v>1166.67</v>
      </c>
      <c r="G124">
        <v>1.1599999999999999</v>
      </c>
      <c r="H124">
        <v>365</v>
      </c>
      <c r="I124">
        <v>183.15</v>
      </c>
      <c r="J124">
        <v>2.89</v>
      </c>
      <c r="K124">
        <v>213.02</v>
      </c>
      <c r="L124">
        <v>22.81</v>
      </c>
      <c r="M124">
        <v>1</v>
      </c>
      <c r="N124">
        <v>255.36</v>
      </c>
      <c r="O124">
        <v>39.380000000000003</v>
      </c>
      <c r="P124">
        <v>39649.599999999999</v>
      </c>
    </row>
    <row r="125" spans="1:16" x14ac:dyDescent="0.2">
      <c r="A125" t="s">
        <v>262</v>
      </c>
      <c r="B125">
        <v>2667</v>
      </c>
      <c r="C125">
        <v>1000</v>
      </c>
      <c r="D125">
        <v>1750</v>
      </c>
      <c r="E125">
        <v>833.33</v>
      </c>
      <c r="F125">
        <v>1458.33</v>
      </c>
      <c r="G125">
        <v>2.25</v>
      </c>
      <c r="H125">
        <v>4516</v>
      </c>
      <c r="I125">
        <v>225</v>
      </c>
      <c r="J125">
        <v>4.5</v>
      </c>
      <c r="K125">
        <v>263.63</v>
      </c>
      <c r="L125">
        <v>28.25</v>
      </c>
      <c r="M125">
        <v>1</v>
      </c>
      <c r="N125">
        <v>317</v>
      </c>
      <c r="O125">
        <v>49.04</v>
      </c>
      <c r="P125">
        <v>48561.3</v>
      </c>
    </row>
    <row r="126" spans="1:16" x14ac:dyDescent="0.2">
      <c r="A126" t="s">
        <v>207</v>
      </c>
      <c r="B126">
        <v>1067.47</v>
      </c>
      <c r="C126">
        <v>665.53800000000001</v>
      </c>
      <c r="D126">
        <v>410.87099999999998</v>
      </c>
      <c r="E126">
        <v>511.78699999999998</v>
      </c>
      <c r="F126">
        <v>336.05500000000001</v>
      </c>
      <c r="G126">
        <v>1.9</v>
      </c>
      <c r="H126">
        <v>107.13200000000001</v>
      </c>
      <c r="I126">
        <v>21.328900000000001</v>
      </c>
      <c r="J126">
        <v>2.1883300000000001</v>
      </c>
      <c r="K126">
        <v>26.78</v>
      </c>
      <c r="L126">
        <v>7.38</v>
      </c>
      <c r="M126">
        <v>1</v>
      </c>
      <c r="N126">
        <v>31.87</v>
      </c>
      <c r="O126">
        <v>13.64</v>
      </c>
      <c r="P126">
        <v>180</v>
      </c>
    </row>
    <row r="127" spans="1:16" x14ac:dyDescent="0.2">
      <c r="A127" t="s">
        <v>248</v>
      </c>
      <c r="B127">
        <v>1337.51</v>
      </c>
      <c r="C127">
        <v>789.34299999999996</v>
      </c>
      <c r="D127">
        <v>549.45699999999999</v>
      </c>
      <c r="E127">
        <v>603.96199999999999</v>
      </c>
      <c r="F127">
        <v>464.33800000000002</v>
      </c>
      <c r="G127">
        <v>2.65</v>
      </c>
      <c r="H127">
        <v>209.5</v>
      </c>
      <c r="I127">
        <v>32.826900000000002</v>
      </c>
      <c r="J127">
        <v>2.8728699999999998</v>
      </c>
      <c r="K127">
        <v>41.9</v>
      </c>
      <c r="L127">
        <v>9.9499999999999993</v>
      </c>
      <c r="M127">
        <v>1</v>
      </c>
      <c r="N127">
        <v>49.59</v>
      </c>
      <c r="O127">
        <v>18.47</v>
      </c>
      <c r="P127">
        <v>450</v>
      </c>
    </row>
    <row r="128" spans="1:16" x14ac:dyDescent="0.2">
      <c r="A128" t="s">
        <v>200</v>
      </c>
      <c r="B128">
        <v>1750</v>
      </c>
      <c r="C128">
        <v>1045</v>
      </c>
      <c r="D128">
        <v>780</v>
      </c>
      <c r="E128">
        <v>870.83333333333337</v>
      </c>
      <c r="F128">
        <v>650</v>
      </c>
      <c r="G128">
        <v>4.1500000000000004</v>
      </c>
      <c r="H128">
        <v>459.6</v>
      </c>
      <c r="I128">
        <v>51.34</v>
      </c>
      <c r="J128">
        <v>4.3684210526315788</v>
      </c>
      <c r="K128">
        <v>70.7</v>
      </c>
      <c r="L128">
        <v>13.78</v>
      </c>
      <c r="M128">
        <v>1</v>
      </c>
      <c r="N128">
        <v>83.51</v>
      </c>
      <c r="O128">
        <v>25.55</v>
      </c>
      <c r="P128">
        <v>1220</v>
      </c>
    </row>
    <row r="129" spans="1:16" x14ac:dyDescent="0.2">
      <c r="A129" t="s">
        <v>201</v>
      </c>
      <c r="B129">
        <v>2290</v>
      </c>
      <c r="C129">
        <v>1332.5</v>
      </c>
      <c r="D129">
        <v>1050</v>
      </c>
      <c r="E129">
        <v>1110.4166666666667</v>
      </c>
      <c r="F129">
        <v>875</v>
      </c>
      <c r="G129">
        <v>6.51</v>
      </c>
      <c r="H129">
        <v>796.1</v>
      </c>
      <c r="I129">
        <v>93.25</v>
      </c>
      <c r="J129">
        <v>6.3512195121951214</v>
      </c>
      <c r="K129">
        <v>106.1</v>
      </c>
      <c r="L129">
        <v>20.97</v>
      </c>
      <c r="M129">
        <v>1</v>
      </c>
      <c r="N129">
        <v>125.3</v>
      </c>
      <c r="O129">
        <v>38.78</v>
      </c>
      <c r="P129">
        <v>2990</v>
      </c>
    </row>
    <row r="130" spans="1:16" x14ac:dyDescent="0.2">
      <c r="A130" t="s">
        <v>202</v>
      </c>
      <c r="B130">
        <v>2700</v>
      </c>
      <c r="C130">
        <v>1505</v>
      </c>
      <c r="D130">
        <v>1312.5</v>
      </c>
      <c r="E130">
        <v>1254.1666666666667</v>
      </c>
      <c r="F130">
        <v>1093.75</v>
      </c>
      <c r="G130">
        <v>8.43</v>
      </c>
      <c r="H130">
        <v>1270</v>
      </c>
      <c r="I130">
        <v>126.4</v>
      </c>
      <c r="J130">
        <v>7.8418604651162784</v>
      </c>
      <c r="K130">
        <v>145.1</v>
      </c>
      <c r="L130">
        <v>25.92</v>
      </c>
      <c r="M130">
        <v>1</v>
      </c>
      <c r="N130">
        <v>171.5</v>
      </c>
      <c r="O130">
        <v>47.47</v>
      </c>
      <c r="P130">
        <v>5620</v>
      </c>
    </row>
    <row r="131" spans="1:16" x14ac:dyDescent="0.2">
      <c r="A131" t="s">
        <v>203</v>
      </c>
      <c r="B131">
        <v>3200</v>
      </c>
      <c r="C131">
        <v>1725</v>
      </c>
      <c r="D131">
        <v>1600</v>
      </c>
      <c r="E131">
        <v>1437.5</v>
      </c>
      <c r="F131">
        <v>1333.3333333333335</v>
      </c>
      <c r="G131">
        <v>11.24</v>
      </c>
      <c r="H131">
        <v>1946</v>
      </c>
      <c r="I131">
        <v>169.7</v>
      </c>
      <c r="J131">
        <v>9.7739130434782613</v>
      </c>
      <c r="K131">
        <v>194.6</v>
      </c>
      <c r="L131">
        <v>32.130000000000003</v>
      </c>
      <c r="M131">
        <v>1</v>
      </c>
      <c r="N131">
        <v>230.1</v>
      </c>
      <c r="O131">
        <v>58.29</v>
      </c>
      <c r="P131">
        <v>9980</v>
      </c>
    </row>
    <row r="132" spans="1:16" x14ac:dyDescent="0.2">
      <c r="A132" t="s">
        <v>204</v>
      </c>
      <c r="B132">
        <v>3630</v>
      </c>
      <c r="C132">
        <v>2000</v>
      </c>
      <c r="D132">
        <v>1760</v>
      </c>
      <c r="E132">
        <v>1666.6666666666667</v>
      </c>
      <c r="F132">
        <v>1466.6666666666667</v>
      </c>
      <c r="G132">
        <v>14.4</v>
      </c>
      <c r="H132">
        <v>2710</v>
      </c>
      <c r="I132">
        <v>222.3</v>
      </c>
      <c r="J132">
        <v>11.52</v>
      </c>
      <c r="K132">
        <v>246.4</v>
      </c>
      <c r="L132">
        <v>39.68</v>
      </c>
      <c r="M132">
        <v>1</v>
      </c>
      <c r="N132">
        <v>289.89999999999998</v>
      </c>
      <c r="O132">
        <v>72.56</v>
      </c>
      <c r="P132">
        <v>15820</v>
      </c>
    </row>
    <row r="133" spans="1:16" x14ac:dyDescent="0.2">
      <c r="A133" t="s">
        <v>205</v>
      </c>
      <c r="B133">
        <v>4380</v>
      </c>
      <c r="C133">
        <v>2295</v>
      </c>
      <c r="D133">
        <v>2250</v>
      </c>
      <c r="E133">
        <v>1912.5000000000002</v>
      </c>
      <c r="F133">
        <v>1875</v>
      </c>
      <c r="G133">
        <v>20.38</v>
      </c>
      <c r="H133">
        <v>4136</v>
      </c>
      <c r="I133">
        <v>295.39999999999998</v>
      </c>
      <c r="J133">
        <v>15.096296296296295</v>
      </c>
      <c r="K133">
        <v>330.9</v>
      </c>
      <c r="L133">
        <v>48.87</v>
      </c>
      <c r="M133">
        <v>1</v>
      </c>
      <c r="N133">
        <v>391.8</v>
      </c>
      <c r="O133">
        <v>87.65</v>
      </c>
      <c r="P133">
        <v>27430</v>
      </c>
    </row>
    <row r="134" spans="1:16" x14ac:dyDescent="0.2">
      <c r="A134" t="s">
        <v>206</v>
      </c>
      <c r="B134">
        <v>5860</v>
      </c>
      <c r="C134">
        <v>3200</v>
      </c>
      <c r="D134">
        <v>2850</v>
      </c>
      <c r="E134">
        <v>2666.666666666667</v>
      </c>
      <c r="F134">
        <v>2375</v>
      </c>
      <c r="G134">
        <v>36.299999999999997</v>
      </c>
      <c r="H134">
        <v>8170</v>
      </c>
      <c r="I134">
        <v>562.1</v>
      </c>
      <c r="J134">
        <v>22.6875</v>
      </c>
      <c r="K134">
        <v>544.70000000000005</v>
      </c>
      <c r="L134">
        <v>79.88</v>
      </c>
      <c r="M134">
        <v>1</v>
      </c>
      <c r="N134">
        <v>639.29999999999995</v>
      </c>
      <c r="O134">
        <v>145.80000000000001</v>
      </c>
      <c r="P134">
        <v>75040</v>
      </c>
    </row>
    <row r="135" spans="1:16" x14ac:dyDescent="0.2">
      <c r="A135" t="s">
        <v>208</v>
      </c>
      <c r="B135">
        <v>1010</v>
      </c>
      <c r="C135">
        <v>700</v>
      </c>
      <c r="D135">
        <v>320</v>
      </c>
      <c r="E135">
        <v>583.33333333333303</v>
      </c>
      <c r="F135">
        <v>266.66666666666703</v>
      </c>
      <c r="G135">
        <v>1.47</v>
      </c>
      <c r="H135">
        <v>107.2</v>
      </c>
      <c r="I135">
        <v>25.41</v>
      </c>
      <c r="J135">
        <v>2.1</v>
      </c>
      <c r="K135">
        <v>26.8</v>
      </c>
      <c r="L135">
        <v>7.98</v>
      </c>
      <c r="M135">
        <v>1</v>
      </c>
      <c r="N135">
        <v>31.23</v>
      </c>
      <c r="O135">
        <v>14.28</v>
      </c>
      <c r="P135">
        <v>220</v>
      </c>
    </row>
    <row r="136" spans="1:16" x14ac:dyDescent="0.2">
      <c r="A136" t="s">
        <v>184</v>
      </c>
      <c r="B136">
        <v>1250</v>
      </c>
      <c r="C136">
        <v>825</v>
      </c>
      <c r="D136">
        <v>450</v>
      </c>
      <c r="E136">
        <v>687.5</v>
      </c>
      <c r="F136">
        <v>375.00000000000006</v>
      </c>
      <c r="G136">
        <v>2.0099999999999998</v>
      </c>
      <c r="H136">
        <v>206.9</v>
      </c>
      <c r="I136">
        <v>38.21</v>
      </c>
      <c r="J136">
        <v>2.6799999999999997</v>
      </c>
      <c r="K136">
        <v>41.37</v>
      </c>
      <c r="L136">
        <v>10.63</v>
      </c>
      <c r="M136">
        <v>1</v>
      </c>
      <c r="N136">
        <v>48.01</v>
      </c>
      <c r="O136">
        <v>19.34</v>
      </c>
      <c r="P136">
        <v>530</v>
      </c>
    </row>
    <row r="137" spans="1:16" x14ac:dyDescent="0.2">
      <c r="A137" t="s">
        <v>184</v>
      </c>
      <c r="B137">
        <v>1207.5</v>
      </c>
      <c r="C137">
        <v>825</v>
      </c>
      <c r="D137">
        <v>450</v>
      </c>
      <c r="E137">
        <v>687.5</v>
      </c>
      <c r="F137">
        <v>375</v>
      </c>
      <c r="G137">
        <v>1.72</v>
      </c>
      <c r="H137">
        <v>199.89</v>
      </c>
      <c r="I137">
        <v>37.520000000000003</v>
      </c>
      <c r="J137">
        <v>2.2999999999999998</v>
      </c>
      <c r="K137">
        <v>39.979999999999997</v>
      </c>
      <c r="L137">
        <v>10.57</v>
      </c>
      <c r="M137">
        <v>1</v>
      </c>
      <c r="N137">
        <v>46.28</v>
      </c>
      <c r="O137">
        <v>18.559999999999999</v>
      </c>
      <c r="P137">
        <v>568.1</v>
      </c>
    </row>
    <row r="138" spans="1:16" x14ac:dyDescent="0.2">
      <c r="A138" t="s">
        <v>182</v>
      </c>
      <c r="B138">
        <v>1540</v>
      </c>
      <c r="C138">
        <v>960</v>
      </c>
      <c r="D138">
        <v>600</v>
      </c>
      <c r="E138">
        <v>800</v>
      </c>
      <c r="F138">
        <v>500</v>
      </c>
      <c r="G138">
        <v>2.9</v>
      </c>
      <c r="H138">
        <v>363.5</v>
      </c>
      <c r="I138">
        <v>55.4</v>
      </c>
      <c r="J138">
        <v>3.625</v>
      </c>
      <c r="K138">
        <v>60.58</v>
      </c>
      <c r="L138">
        <v>13.79</v>
      </c>
      <c r="M138">
        <v>1</v>
      </c>
      <c r="N138">
        <v>70.33</v>
      </c>
      <c r="O138">
        <v>25.28</v>
      </c>
      <c r="P138">
        <v>1120</v>
      </c>
    </row>
    <row r="139" spans="1:16" x14ac:dyDescent="0.2">
      <c r="A139" t="s">
        <v>213</v>
      </c>
      <c r="B139">
        <v>1840</v>
      </c>
      <c r="C139">
        <v>1170</v>
      </c>
      <c r="D139">
        <v>700</v>
      </c>
      <c r="E139">
        <v>975.00000000000011</v>
      </c>
      <c r="F139">
        <v>583.33333333333337</v>
      </c>
      <c r="G139">
        <v>4.05</v>
      </c>
      <c r="H139">
        <v>599.5</v>
      </c>
      <c r="I139">
        <v>78.7</v>
      </c>
      <c r="J139">
        <v>4.5</v>
      </c>
      <c r="K139">
        <v>85.64</v>
      </c>
      <c r="L139">
        <v>18.190000000000001</v>
      </c>
      <c r="M139">
        <v>1</v>
      </c>
      <c r="N139">
        <v>98.84</v>
      </c>
      <c r="O139">
        <v>33.22</v>
      </c>
      <c r="P139">
        <v>2200</v>
      </c>
    </row>
    <row r="140" spans="1:16" x14ac:dyDescent="0.2">
      <c r="A140" t="s">
        <v>191</v>
      </c>
      <c r="B140">
        <v>2170</v>
      </c>
      <c r="C140">
        <v>1330</v>
      </c>
      <c r="D140">
        <v>880</v>
      </c>
      <c r="E140">
        <v>1757.8</v>
      </c>
      <c r="F140">
        <v>759</v>
      </c>
      <c r="G140">
        <v>5.2</v>
      </c>
      <c r="H140">
        <v>911</v>
      </c>
      <c r="I140">
        <v>107</v>
      </c>
      <c r="J140">
        <v>5.4740000000000002</v>
      </c>
      <c r="K140">
        <v>113.9</v>
      </c>
      <c r="L140">
        <v>22.58</v>
      </c>
      <c r="M140">
        <v>1</v>
      </c>
      <c r="N140">
        <v>131.6</v>
      </c>
      <c r="O140">
        <v>41.49</v>
      </c>
      <c r="P140">
        <v>3960</v>
      </c>
    </row>
    <row r="141" spans="1:16" x14ac:dyDescent="0.2">
      <c r="A141" t="s">
        <v>192</v>
      </c>
      <c r="B141">
        <v>2510</v>
      </c>
      <c r="C141">
        <v>1575</v>
      </c>
      <c r="D141">
        <v>990</v>
      </c>
      <c r="E141">
        <v>2059.1</v>
      </c>
      <c r="F141">
        <v>858</v>
      </c>
      <c r="G141">
        <v>6.99</v>
      </c>
      <c r="H141">
        <v>1353</v>
      </c>
      <c r="I141">
        <v>144</v>
      </c>
      <c r="J141">
        <v>6.657</v>
      </c>
      <c r="K141">
        <v>150.4</v>
      </c>
      <c r="L141">
        <v>28.56</v>
      </c>
      <c r="M141">
        <v>1</v>
      </c>
      <c r="N141">
        <v>173</v>
      </c>
      <c r="O141">
        <v>52.3</v>
      </c>
      <c r="P141">
        <v>6810</v>
      </c>
    </row>
    <row r="142" spans="1:16" x14ac:dyDescent="0.2">
      <c r="A142" t="s">
        <v>269</v>
      </c>
      <c r="B142">
        <v>2900</v>
      </c>
      <c r="C142">
        <v>1760</v>
      </c>
      <c r="D142">
        <v>1200</v>
      </c>
      <c r="E142">
        <v>1466.6666666666667</v>
      </c>
      <c r="F142">
        <v>1000.0000000000001</v>
      </c>
      <c r="G142">
        <v>8.89</v>
      </c>
      <c r="H142">
        <v>1909</v>
      </c>
      <c r="I142">
        <v>187.3</v>
      </c>
      <c r="J142">
        <v>8.081818181818182</v>
      </c>
      <c r="K142">
        <v>190.9</v>
      </c>
      <c r="L142">
        <v>34.43</v>
      </c>
      <c r="M142">
        <v>1</v>
      </c>
      <c r="N142">
        <v>220.1</v>
      </c>
      <c r="O142">
        <v>63.28</v>
      </c>
      <c r="P142">
        <v>11000</v>
      </c>
    </row>
    <row r="143" spans="1:16" x14ac:dyDescent="0.2">
      <c r="A143" t="s">
        <v>214</v>
      </c>
      <c r="B143">
        <v>3390</v>
      </c>
      <c r="C143">
        <v>2040</v>
      </c>
      <c r="D143">
        <v>1430</v>
      </c>
      <c r="E143">
        <v>1700.0000000000002</v>
      </c>
      <c r="F143">
        <v>1191.6666666666667</v>
      </c>
      <c r="G143">
        <v>12.05</v>
      </c>
      <c r="H143">
        <v>2682</v>
      </c>
      <c r="I143">
        <v>246.4</v>
      </c>
      <c r="J143">
        <v>10.041666666666666</v>
      </c>
      <c r="K143">
        <v>243.9</v>
      </c>
      <c r="L143">
        <v>42.51</v>
      </c>
      <c r="M143">
        <v>1</v>
      </c>
      <c r="N143">
        <v>281.5</v>
      </c>
      <c r="O143">
        <v>78.25</v>
      </c>
      <c r="P143">
        <v>17610</v>
      </c>
    </row>
    <row r="144" spans="1:16" x14ac:dyDescent="0.2">
      <c r="A144" t="s">
        <v>215</v>
      </c>
      <c r="B144">
        <v>3850</v>
      </c>
      <c r="C144">
        <v>2250</v>
      </c>
      <c r="D144">
        <v>1680</v>
      </c>
      <c r="E144">
        <v>1875</v>
      </c>
      <c r="F144">
        <v>1400</v>
      </c>
      <c r="G144">
        <v>15.14</v>
      </c>
      <c r="H144">
        <v>3599</v>
      </c>
      <c r="I144">
        <v>310.89999999999998</v>
      </c>
      <c r="J144">
        <v>12.112</v>
      </c>
      <c r="K144">
        <v>299.89999999999998</v>
      </c>
      <c r="L144">
        <v>50.08</v>
      </c>
      <c r="M144">
        <v>1</v>
      </c>
      <c r="N144">
        <v>346.9</v>
      </c>
      <c r="O144">
        <v>92.18</v>
      </c>
      <c r="P144">
        <v>26420</v>
      </c>
    </row>
    <row r="145" spans="1:16" x14ac:dyDescent="0.2">
      <c r="A145" t="s">
        <v>216</v>
      </c>
      <c r="B145">
        <v>4480</v>
      </c>
      <c r="C145">
        <v>2565</v>
      </c>
      <c r="D145">
        <v>2025</v>
      </c>
      <c r="E145">
        <v>2137.5</v>
      </c>
      <c r="F145">
        <v>1687.5</v>
      </c>
      <c r="G145">
        <v>19.91</v>
      </c>
      <c r="H145">
        <v>5255</v>
      </c>
      <c r="I145">
        <v>401</v>
      </c>
      <c r="J145">
        <v>14.748148148148148</v>
      </c>
      <c r="K145">
        <v>389.2</v>
      </c>
      <c r="L145">
        <v>60.69</v>
      </c>
      <c r="M145">
        <v>1</v>
      </c>
      <c r="N145">
        <v>451.1</v>
      </c>
      <c r="O145">
        <v>111.6</v>
      </c>
      <c r="P145">
        <v>43550</v>
      </c>
    </row>
    <row r="146" spans="1:16" x14ac:dyDescent="0.2">
      <c r="A146" t="s">
        <v>217</v>
      </c>
      <c r="B146">
        <v>5660</v>
      </c>
      <c r="C146">
        <v>3000</v>
      </c>
      <c r="D146">
        <v>2850</v>
      </c>
      <c r="E146">
        <v>2500.0000000000005</v>
      </c>
      <c r="F146">
        <v>2375</v>
      </c>
      <c r="G146">
        <v>31.52</v>
      </c>
      <c r="H146">
        <v>7823</v>
      </c>
      <c r="I146">
        <v>537.70000000000005</v>
      </c>
      <c r="J146">
        <v>21.013333333333332</v>
      </c>
      <c r="K146">
        <v>521.5</v>
      </c>
      <c r="L146">
        <v>75.58</v>
      </c>
      <c r="M146">
        <v>1</v>
      </c>
      <c r="N146">
        <v>613.4</v>
      </c>
      <c r="O146">
        <v>136.6</v>
      </c>
      <c r="P146">
        <v>72660</v>
      </c>
    </row>
    <row r="147" spans="1:16" x14ac:dyDescent="0.2">
      <c r="A147" t="s">
        <v>218</v>
      </c>
      <c r="B147">
        <v>6780</v>
      </c>
      <c r="C147">
        <v>3360</v>
      </c>
      <c r="D147">
        <v>3630</v>
      </c>
      <c r="E147">
        <v>2800</v>
      </c>
      <c r="F147">
        <v>3025</v>
      </c>
      <c r="G147">
        <v>45.18</v>
      </c>
      <c r="H147">
        <v>11010</v>
      </c>
      <c r="I147">
        <v>681.5</v>
      </c>
      <c r="J147">
        <v>28.237500000000001</v>
      </c>
      <c r="K147">
        <v>667.1</v>
      </c>
      <c r="L147">
        <v>89.66</v>
      </c>
      <c r="M147">
        <v>1</v>
      </c>
      <c r="N147">
        <v>791.9</v>
      </c>
      <c r="O147">
        <v>156.19999999999999</v>
      </c>
      <c r="P147">
        <v>111800</v>
      </c>
    </row>
    <row r="148" spans="1:16" x14ac:dyDescent="0.2">
      <c r="A148" t="s">
        <v>219</v>
      </c>
      <c r="B148">
        <v>7790</v>
      </c>
      <c r="C148">
        <v>3740</v>
      </c>
      <c r="D148">
        <v>4320</v>
      </c>
      <c r="E148">
        <v>3116.666666666667</v>
      </c>
      <c r="F148">
        <v>3600</v>
      </c>
      <c r="G148">
        <v>58.49</v>
      </c>
      <c r="H148">
        <v>14830</v>
      </c>
      <c r="I148">
        <v>843.7</v>
      </c>
      <c r="J148">
        <v>34.405882352941177</v>
      </c>
      <c r="K148">
        <v>823.6</v>
      </c>
      <c r="L148">
        <v>105.1</v>
      </c>
      <c r="M148">
        <v>1</v>
      </c>
      <c r="N148">
        <v>982.3</v>
      </c>
      <c r="O148">
        <v>177.8</v>
      </c>
      <c r="P148">
        <v>166400</v>
      </c>
    </row>
    <row r="149" spans="1:16" x14ac:dyDescent="0.2">
      <c r="A149" t="s">
        <v>220</v>
      </c>
      <c r="B149">
        <v>9190</v>
      </c>
      <c r="C149">
        <v>4140</v>
      </c>
      <c r="D149">
        <v>5400</v>
      </c>
      <c r="E149">
        <v>3450.0000000000005</v>
      </c>
      <c r="F149">
        <v>4500.0000000000009</v>
      </c>
      <c r="G149">
        <v>79.14</v>
      </c>
      <c r="H149">
        <v>20980</v>
      </c>
      <c r="I149">
        <v>1045</v>
      </c>
      <c r="J149">
        <v>43.966666666666669</v>
      </c>
      <c r="K149">
        <v>1049</v>
      </c>
      <c r="L149">
        <v>122.6</v>
      </c>
      <c r="M149">
        <v>1</v>
      </c>
      <c r="N149">
        <v>1263</v>
      </c>
      <c r="O149">
        <v>191.4</v>
      </c>
      <c r="P149">
        <v>259000</v>
      </c>
    </row>
    <row r="150" spans="1:16" x14ac:dyDescent="0.2">
      <c r="A150" t="s">
        <v>22</v>
      </c>
      <c r="B150">
        <v>1100</v>
      </c>
      <c r="C150">
        <v>695.34400000000005</v>
      </c>
      <c r="D150">
        <v>492.452</v>
      </c>
      <c r="E150">
        <v>506.2</v>
      </c>
      <c r="F150">
        <v>398.3</v>
      </c>
      <c r="G150">
        <v>2.16</v>
      </c>
      <c r="H150">
        <v>106</v>
      </c>
      <c r="I150">
        <v>19.399999999999999</v>
      </c>
      <c r="J150">
        <v>2.44</v>
      </c>
      <c r="K150">
        <v>26.5</v>
      </c>
      <c r="L150">
        <v>6.36</v>
      </c>
      <c r="M150">
        <v>1</v>
      </c>
      <c r="N150">
        <v>31.8</v>
      </c>
      <c r="O150">
        <v>12.1</v>
      </c>
      <c r="P150">
        <v>170</v>
      </c>
    </row>
    <row r="151" spans="1:16" x14ac:dyDescent="0.2">
      <c r="A151" t="s">
        <v>23</v>
      </c>
      <c r="B151">
        <v>1350</v>
      </c>
      <c r="C151">
        <v>829.00400000000002</v>
      </c>
      <c r="D151">
        <v>604.09699999999998</v>
      </c>
      <c r="E151">
        <v>600.6</v>
      </c>
      <c r="F151">
        <v>503.4</v>
      </c>
      <c r="G151">
        <v>2.81</v>
      </c>
      <c r="H151">
        <v>206</v>
      </c>
      <c r="I151">
        <v>29.3</v>
      </c>
      <c r="J151">
        <v>3.0390000000000001</v>
      </c>
      <c r="K151">
        <v>41.2</v>
      </c>
      <c r="L151">
        <v>8.49</v>
      </c>
      <c r="M151">
        <v>1</v>
      </c>
      <c r="N151">
        <v>49</v>
      </c>
      <c r="O151">
        <v>16.2</v>
      </c>
      <c r="P151">
        <v>410</v>
      </c>
    </row>
    <row r="152" spans="1:16" x14ac:dyDescent="0.2">
      <c r="A152" t="s">
        <v>31</v>
      </c>
      <c r="B152">
        <v>1700</v>
      </c>
      <c r="C152">
        <v>975.7</v>
      </c>
      <c r="D152">
        <v>834.4</v>
      </c>
      <c r="E152">
        <v>694.8</v>
      </c>
      <c r="F152">
        <v>701.7</v>
      </c>
      <c r="G152">
        <v>4.1500000000000004</v>
      </c>
      <c r="H152">
        <v>364</v>
      </c>
      <c r="I152">
        <v>43.2</v>
      </c>
      <c r="J152">
        <v>4.1909999999999998</v>
      </c>
      <c r="K152">
        <v>60.7</v>
      </c>
      <c r="L152">
        <v>11.1</v>
      </c>
      <c r="M152">
        <v>1</v>
      </c>
      <c r="N152">
        <v>72.599999999999994</v>
      </c>
      <c r="O152">
        <v>21.2</v>
      </c>
      <c r="P152">
        <v>900</v>
      </c>
    </row>
    <row r="153" spans="1:16" x14ac:dyDescent="0.2">
      <c r="A153" t="s">
        <v>24</v>
      </c>
      <c r="B153">
        <v>2040</v>
      </c>
      <c r="C153">
        <v>1184.43</v>
      </c>
      <c r="D153">
        <v>977.37599999999998</v>
      </c>
      <c r="E153">
        <v>846.8</v>
      </c>
      <c r="F153">
        <v>824.2</v>
      </c>
      <c r="G153">
        <v>5.68</v>
      </c>
      <c r="H153">
        <v>605</v>
      </c>
      <c r="I153">
        <v>62.7</v>
      </c>
      <c r="J153">
        <v>5.2530000000000001</v>
      </c>
      <c r="K153">
        <v>86.4</v>
      </c>
      <c r="L153">
        <v>14.8</v>
      </c>
      <c r="M153">
        <v>1</v>
      </c>
      <c r="N153">
        <v>103</v>
      </c>
      <c r="O153">
        <v>28.3</v>
      </c>
      <c r="P153">
        <v>1800</v>
      </c>
    </row>
    <row r="154" spans="1:16" x14ac:dyDescent="0.2">
      <c r="A154" t="s">
        <v>44</v>
      </c>
      <c r="B154">
        <v>2400</v>
      </c>
      <c r="C154">
        <v>1365</v>
      </c>
      <c r="D154">
        <v>1200</v>
      </c>
      <c r="E154">
        <v>1137.5</v>
      </c>
      <c r="F154">
        <v>1000</v>
      </c>
      <c r="G154">
        <v>7.39</v>
      </c>
      <c r="H154">
        <v>925</v>
      </c>
      <c r="I154">
        <v>85.3</v>
      </c>
      <c r="J154">
        <v>7.0190476190476199</v>
      </c>
      <c r="K154">
        <v>116</v>
      </c>
      <c r="L154">
        <v>18.3</v>
      </c>
      <c r="M154">
        <v>1</v>
      </c>
      <c r="N154">
        <v>138</v>
      </c>
      <c r="O154">
        <v>35.200000000000003</v>
      </c>
      <c r="P154">
        <v>3260</v>
      </c>
    </row>
    <row r="155" spans="1:16" x14ac:dyDescent="0.2">
      <c r="A155" t="s">
        <v>25</v>
      </c>
      <c r="B155">
        <v>2800</v>
      </c>
      <c r="C155">
        <v>1538.85</v>
      </c>
      <c r="D155">
        <v>1381.91</v>
      </c>
      <c r="E155">
        <v>1084</v>
      </c>
      <c r="F155">
        <v>1210.0999999999999</v>
      </c>
      <c r="G155">
        <v>9.5500000000000007</v>
      </c>
      <c r="H155">
        <v>1350</v>
      </c>
      <c r="I155">
        <v>114</v>
      </c>
      <c r="J155">
        <v>7.9459999999999997</v>
      </c>
      <c r="K155">
        <v>150</v>
      </c>
      <c r="L155">
        <v>22.4</v>
      </c>
      <c r="M155">
        <v>1</v>
      </c>
      <c r="N155">
        <v>179</v>
      </c>
      <c r="O155">
        <v>42.9</v>
      </c>
      <c r="P155">
        <v>5570</v>
      </c>
    </row>
    <row r="156" spans="1:16" x14ac:dyDescent="0.2">
      <c r="A156" t="s">
        <v>3</v>
      </c>
      <c r="B156">
        <v>3220</v>
      </c>
      <c r="C156">
        <v>1732.07</v>
      </c>
      <c r="D156">
        <v>1636.23</v>
      </c>
      <c r="E156">
        <v>1212.9000000000001</v>
      </c>
      <c r="F156">
        <v>1427.4</v>
      </c>
      <c r="G156">
        <v>11.9</v>
      </c>
      <c r="H156">
        <v>1910</v>
      </c>
      <c r="I156">
        <v>148</v>
      </c>
      <c r="J156">
        <v>9.593</v>
      </c>
      <c r="K156">
        <v>191</v>
      </c>
      <c r="L156">
        <v>27</v>
      </c>
      <c r="M156">
        <v>1</v>
      </c>
      <c r="N156">
        <v>228</v>
      </c>
      <c r="O156">
        <v>51.8</v>
      </c>
      <c r="P156">
        <v>9070</v>
      </c>
    </row>
    <row r="157" spans="1:16" x14ac:dyDescent="0.2">
      <c r="A157" t="s">
        <v>32</v>
      </c>
      <c r="B157">
        <v>3740</v>
      </c>
      <c r="C157">
        <v>2000</v>
      </c>
      <c r="D157">
        <v>1980</v>
      </c>
      <c r="E157">
        <v>1666.6666666666699</v>
      </c>
      <c r="F157">
        <v>1650</v>
      </c>
      <c r="G157">
        <v>16</v>
      </c>
      <c r="H157">
        <v>2690</v>
      </c>
      <c r="I157">
        <v>197</v>
      </c>
      <c r="J157">
        <v>12.8</v>
      </c>
      <c r="K157">
        <v>245</v>
      </c>
      <c r="L157">
        <v>33.6</v>
      </c>
      <c r="M157">
        <v>1</v>
      </c>
      <c r="N157">
        <v>292</v>
      </c>
      <c r="O157">
        <v>64.099999999999994</v>
      </c>
      <c r="P157">
        <v>14600</v>
      </c>
    </row>
    <row r="158" spans="1:16" x14ac:dyDescent="0.2">
      <c r="A158" t="s">
        <v>45</v>
      </c>
      <c r="B158">
        <v>4230</v>
      </c>
      <c r="C158">
        <v>2210</v>
      </c>
      <c r="D158">
        <v>2280</v>
      </c>
      <c r="E158">
        <v>1841.666666666667</v>
      </c>
      <c r="F158">
        <v>1900</v>
      </c>
      <c r="G158">
        <v>19.7</v>
      </c>
      <c r="H158">
        <v>3600</v>
      </c>
      <c r="I158">
        <v>248</v>
      </c>
      <c r="J158">
        <v>15.153846153846153</v>
      </c>
      <c r="K158">
        <v>300</v>
      </c>
      <c r="L158">
        <v>39.6</v>
      </c>
      <c r="M158">
        <v>1</v>
      </c>
      <c r="N158">
        <v>358</v>
      </c>
      <c r="O158">
        <v>75.7</v>
      </c>
      <c r="P158">
        <v>22100</v>
      </c>
    </row>
    <row r="159" spans="1:16" x14ac:dyDescent="0.2">
      <c r="A159" t="s">
        <v>46</v>
      </c>
      <c r="B159">
        <v>4830</v>
      </c>
      <c r="C159">
        <v>2520</v>
      </c>
      <c r="D159">
        <v>2600</v>
      </c>
      <c r="E159">
        <v>2100</v>
      </c>
      <c r="F159">
        <v>2166.666666666667</v>
      </c>
      <c r="G159">
        <v>25.5</v>
      </c>
      <c r="H159">
        <v>4820</v>
      </c>
      <c r="I159">
        <v>317</v>
      </c>
      <c r="J159">
        <v>18.214285714285715</v>
      </c>
      <c r="K159">
        <v>371</v>
      </c>
      <c r="L159">
        <v>47.7</v>
      </c>
      <c r="M159">
        <v>1</v>
      </c>
      <c r="N159">
        <v>442</v>
      </c>
      <c r="O159">
        <v>91.6</v>
      </c>
      <c r="P159">
        <v>33300</v>
      </c>
    </row>
    <row r="160" spans="1:16" x14ac:dyDescent="0.2">
      <c r="A160" t="s">
        <v>47</v>
      </c>
      <c r="B160">
        <v>5330</v>
      </c>
      <c r="C160">
        <v>2850</v>
      </c>
      <c r="D160">
        <v>2800</v>
      </c>
      <c r="E160">
        <v>2375</v>
      </c>
      <c r="F160">
        <v>2333.3333333333335</v>
      </c>
      <c r="G160">
        <v>31</v>
      </c>
      <c r="H160">
        <v>6280</v>
      </c>
      <c r="I160">
        <v>399</v>
      </c>
      <c r="J160">
        <v>20.666666666666668</v>
      </c>
      <c r="K160">
        <v>448</v>
      </c>
      <c r="L160">
        <v>57.2</v>
      </c>
      <c r="M160">
        <v>1</v>
      </c>
      <c r="N160">
        <v>532</v>
      </c>
      <c r="O160">
        <v>109</v>
      </c>
      <c r="P160">
        <v>48500</v>
      </c>
    </row>
    <row r="161" spans="1:16" x14ac:dyDescent="0.2">
      <c r="A161" t="s">
        <v>35</v>
      </c>
      <c r="B161">
        <v>5880</v>
      </c>
      <c r="C161">
        <v>3200</v>
      </c>
      <c r="D161">
        <v>3000</v>
      </c>
      <c r="E161">
        <v>2666.6666666666702</v>
      </c>
      <c r="F161">
        <v>2500</v>
      </c>
      <c r="G161">
        <v>37.4</v>
      </c>
      <c r="H161">
        <v>8030</v>
      </c>
      <c r="I161">
        <v>495</v>
      </c>
      <c r="J161">
        <v>23.375</v>
      </c>
      <c r="K161">
        <v>535</v>
      </c>
      <c r="L161">
        <v>67.8</v>
      </c>
      <c r="M161">
        <v>1</v>
      </c>
      <c r="N161">
        <v>632</v>
      </c>
      <c r="O161">
        <v>130</v>
      </c>
      <c r="P161">
        <v>69100</v>
      </c>
    </row>
    <row r="162" spans="1:16" x14ac:dyDescent="0.2">
      <c r="A162" t="s">
        <v>75</v>
      </c>
      <c r="B162">
        <v>7580</v>
      </c>
      <c r="C162">
        <v>3500</v>
      </c>
      <c r="D162">
        <v>4480</v>
      </c>
      <c r="E162">
        <v>2916.666666666667</v>
      </c>
      <c r="F162">
        <v>3733.3333333333335</v>
      </c>
      <c r="G162">
        <v>66.7</v>
      </c>
      <c r="H162">
        <v>10870</v>
      </c>
      <c r="I162">
        <v>597</v>
      </c>
      <c r="J162">
        <v>38.114285714285714</v>
      </c>
      <c r="K162">
        <v>679</v>
      </c>
      <c r="L162">
        <v>80.599999999999994</v>
      </c>
      <c r="M162">
        <v>1</v>
      </c>
      <c r="N162">
        <v>826</v>
      </c>
      <c r="O162">
        <v>152</v>
      </c>
      <c r="P162">
        <v>96100</v>
      </c>
    </row>
    <row r="163" spans="1:16" x14ac:dyDescent="0.2">
      <c r="A163" t="s">
        <v>76</v>
      </c>
      <c r="B163">
        <v>7730</v>
      </c>
      <c r="C163">
        <v>3200</v>
      </c>
      <c r="D163">
        <v>4900</v>
      </c>
      <c r="E163">
        <v>2666.666666666667</v>
      </c>
      <c r="F163">
        <v>4083.3333333333335</v>
      </c>
      <c r="G163">
        <v>61.2</v>
      </c>
      <c r="H163">
        <v>12840</v>
      </c>
      <c r="I163">
        <v>570</v>
      </c>
      <c r="J163">
        <v>38.25</v>
      </c>
      <c r="K163">
        <v>734</v>
      </c>
      <c r="L163">
        <v>75</v>
      </c>
      <c r="M163">
        <v>1</v>
      </c>
      <c r="N163">
        <v>918</v>
      </c>
      <c r="O163">
        <v>143</v>
      </c>
      <c r="P163">
        <v>114000</v>
      </c>
    </row>
    <row r="164" spans="1:16" x14ac:dyDescent="0.2">
      <c r="A164" t="s">
        <v>77</v>
      </c>
      <c r="B164">
        <v>8040</v>
      </c>
      <c r="C164">
        <v>3264</v>
      </c>
      <c r="D164">
        <v>5130</v>
      </c>
      <c r="E164">
        <v>2720</v>
      </c>
      <c r="F164">
        <v>4275</v>
      </c>
      <c r="G164">
        <v>59.1</v>
      </c>
      <c r="H164">
        <v>15760</v>
      </c>
      <c r="I164">
        <v>615</v>
      </c>
      <c r="J164">
        <v>36.9375</v>
      </c>
      <c r="K164">
        <v>829</v>
      </c>
      <c r="L164">
        <v>78.7</v>
      </c>
      <c r="M164">
        <v>1</v>
      </c>
      <c r="N164">
        <v>1014</v>
      </c>
      <c r="O164">
        <v>148</v>
      </c>
      <c r="P164">
        <v>146000</v>
      </c>
    </row>
    <row r="165" spans="1:16" x14ac:dyDescent="0.2">
      <c r="A165" t="s">
        <v>78</v>
      </c>
      <c r="B165">
        <v>9150</v>
      </c>
      <c r="C165">
        <v>3960</v>
      </c>
      <c r="D165">
        <v>5600</v>
      </c>
      <c r="E165">
        <v>3300</v>
      </c>
      <c r="F165">
        <v>4666.666666666667</v>
      </c>
      <c r="G165">
        <v>81.599999999999994</v>
      </c>
      <c r="H165">
        <v>20350</v>
      </c>
      <c r="I165">
        <v>846</v>
      </c>
      <c r="J165">
        <v>45.333333333333336</v>
      </c>
      <c r="K165">
        <v>1020</v>
      </c>
      <c r="L165">
        <v>102</v>
      </c>
      <c r="M165">
        <v>1</v>
      </c>
      <c r="N165">
        <v>1240</v>
      </c>
      <c r="O165">
        <v>190</v>
      </c>
      <c r="P165">
        <v>221000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2</vt:i4>
      </vt:variant>
    </vt:vector>
  </HeadingPairs>
  <TitlesOfParts>
    <vt:vector size="6" baseType="lpstr">
      <vt:lpstr>Flexion</vt:lpstr>
      <vt:lpstr>Données</vt:lpstr>
      <vt:lpstr>MATERIAU</vt:lpstr>
      <vt:lpstr>PROFILS</vt:lpstr>
      <vt:lpstr>Données!Criteres</vt:lpstr>
      <vt:lpstr>Données!Extraire</vt:lpstr>
    </vt:vector>
  </TitlesOfParts>
  <Manager>Denis59</Manager>
  <Company>www.atexat.fr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Flexion poutre</dc:title>
  <dc:creator>Denis59</dc:creator>
  <cp:keywords>Flexion</cp:keywords>
  <dc:description>Calcule et trace la déformée en temps réel d'une poutre sur deux appuis</dc:description>
  <cp:lastModifiedBy>Denis</cp:lastModifiedBy>
  <cp:lastPrinted>2009-02-24T12:49:26Z</cp:lastPrinted>
  <dcterms:created xsi:type="dcterms:W3CDTF">1996-10-21T11:03:58Z</dcterms:created>
  <dcterms:modified xsi:type="dcterms:W3CDTF">2013-04-21T14:50:37Z</dcterms:modified>
</cp:coreProperties>
</file>